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hassert2/OneDrive - Council On The Environment aka Grow NYC/KTC/Webinar/Crop-Costing/"/>
    </mc:Choice>
  </mc:AlternateContent>
  <bookViews>
    <workbookView xWindow="0" yWindow="460" windowWidth="39600" windowHeight="21080"/>
  </bookViews>
  <sheets>
    <sheet name="Template - blank" sheetId="1" r:id="rId1"/>
    <sheet name="high tunnel" sheetId="2" r:id="rId2"/>
    <sheet name="Sample baby greens" sheetId="8" r:id="rId3"/>
    <sheet name="Sample head lettuce" sheetId="5" r:id="rId4"/>
    <sheet name="Sample carrots_no root washer" sheetId="6" r:id="rId5"/>
    <sheet name="Sample carrots_root washer" sheetId="7" r:id="rId6"/>
    <sheet name="Transplants" sheetId="9" r:id="rId7"/>
  </sheets>
  <calcPr calcId="171027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4" i="1" l="1"/>
  <c r="B83" i="8"/>
  <c r="B100" i="2"/>
  <c r="B98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B91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B47" i="2"/>
  <c r="B86" i="2"/>
  <c r="B23" i="2"/>
  <c r="B24" i="2"/>
  <c r="B85" i="2"/>
  <c r="B83" i="2"/>
  <c r="B84" i="2"/>
  <c r="K74" i="2"/>
  <c r="K75" i="2"/>
  <c r="K77" i="2"/>
  <c r="S74" i="2"/>
  <c r="S75" i="2"/>
  <c r="S77" i="2"/>
  <c r="I74" i="2"/>
  <c r="I75" i="2"/>
  <c r="I77" i="2"/>
  <c r="Q74" i="2"/>
  <c r="Q75" i="2"/>
  <c r="Q77" i="2"/>
  <c r="G74" i="2"/>
  <c r="G75" i="2"/>
  <c r="G77" i="2"/>
  <c r="O74" i="2"/>
  <c r="O75" i="2"/>
  <c r="O77" i="2"/>
  <c r="E74" i="2"/>
  <c r="E75" i="2"/>
  <c r="E77" i="2"/>
  <c r="M74" i="2"/>
  <c r="M75" i="2"/>
  <c r="M77" i="2"/>
  <c r="U74" i="2"/>
  <c r="U75" i="2"/>
  <c r="H74" i="2"/>
  <c r="H75" i="2"/>
  <c r="H77" i="2"/>
  <c r="P74" i="2"/>
  <c r="P75" i="2"/>
  <c r="P77" i="2"/>
  <c r="D74" i="2"/>
  <c r="D75" i="2"/>
  <c r="F74" i="2"/>
  <c r="F75" i="2"/>
  <c r="F77" i="2"/>
  <c r="J74" i="2"/>
  <c r="J75" i="2"/>
  <c r="J77" i="2"/>
  <c r="L74" i="2"/>
  <c r="L75" i="2"/>
  <c r="N74" i="2"/>
  <c r="N75" i="2"/>
  <c r="N77" i="2"/>
  <c r="R74" i="2"/>
  <c r="R75" i="2"/>
  <c r="T74" i="2"/>
  <c r="T75" i="2"/>
  <c r="B73" i="2"/>
  <c r="B72" i="2"/>
  <c r="B71" i="2"/>
  <c r="B69" i="2"/>
  <c r="B65" i="2"/>
  <c r="B62" i="2"/>
  <c r="B61" i="2"/>
  <c r="B58" i="2"/>
  <c r="C66" i="2"/>
  <c r="C65" i="2"/>
  <c r="C61" i="2"/>
  <c r="C72" i="2"/>
  <c r="C71" i="2"/>
  <c r="C69" i="2"/>
  <c r="B46" i="2"/>
  <c r="C46" i="2"/>
  <c r="C47" i="2"/>
  <c r="C86" i="2"/>
  <c r="D46" i="2"/>
  <c r="D47" i="2"/>
  <c r="D86" i="2"/>
  <c r="E46" i="2"/>
  <c r="E47" i="2"/>
  <c r="E86" i="2"/>
  <c r="F46" i="2"/>
  <c r="F47" i="2"/>
  <c r="F86" i="2"/>
  <c r="G46" i="2"/>
  <c r="G47" i="2"/>
  <c r="G86" i="2"/>
  <c r="H46" i="2"/>
  <c r="H47" i="2"/>
  <c r="H86" i="2"/>
  <c r="I46" i="2"/>
  <c r="I47" i="2"/>
  <c r="I86" i="2"/>
  <c r="J46" i="2"/>
  <c r="J47" i="2"/>
  <c r="J86" i="2"/>
  <c r="K46" i="2"/>
  <c r="K47" i="2"/>
  <c r="K86" i="2"/>
  <c r="L46" i="2"/>
  <c r="L47" i="2"/>
  <c r="L86" i="2"/>
  <c r="M46" i="2"/>
  <c r="M47" i="2"/>
  <c r="M86" i="2"/>
  <c r="N46" i="2"/>
  <c r="N47" i="2"/>
  <c r="N86" i="2"/>
  <c r="O46" i="2"/>
  <c r="O47" i="2"/>
  <c r="O86" i="2"/>
  <c r="P46" i="2"/>
  <c r="P47" i="2"/>
  <c r="P86" i="2"/>
  <c r="Q46" i="2"/>
  <c r="Q47" i="2"/>
  <c r="Q86" i="2"/>
  <c r="R46" i="2"/>
  <c r="R47" i="2"/>
  <c r="R86" i="2"/>
  <c r="S46" i="2"/>
  <c r="S47" i="2"/>
  <c r="S86" i="2"/>
  <c r="T46" i="2"/>
  <c r="T47" i="2"/>
  <c r="T86" i="2"/>
  <c r="U46" i="2"/>
  <c r="U47" i="2"/>
  <c r="U86" i="2"/>
  <c r="C23" i="2"/>
  <c r="B16" i="2"/>
  <c r="C24" i="2"/>
  <c r="C85" i="2"/>
  <c r="D23" i="2"/>
  <c r="D24" i="2"/>
  <c r="D85" i="2"/>
  <c r="E23" i="2"/>
  <c r="F23" i="2"/>
  <c r="F24" i="2"/>
  <c r="F85" i="2"/>
  <c r="G23" i="2"/>
  <c r="G24" i="2"/>
  <c r="G85" i="2"/>
  <c r="H23" i="2"/>
  <c r="H24" i="2"/>
  <c r="H85" i="2"/>
  <c r="I23" i="2"/>
  <c r="I24" i="2"/>
  <c r="I85" i="2"/>
  <c r="J23" i="2"/>
  <c r="J24" i="2"/>
  <c r="J85" i="2"/>
  <c r="K23" i="2"/>
  <c r="K24" i="2"/>
  <c r="K85" i="2"/>
  <c r="L23" i="2"/>
  <c r="L24" i="2"/>
  <c r="L85" i="2"/>
  <c r="M23" i="2"/>
  <c r="M24" i="2"/>
  <c r="M85" i="2"/>
  <c r="N23" i="2"/>
  <c r="N24" i="2"/>
  <c r="N85" i="2"/>
  <c r="O23" i="2"/>
  <c r="O24" i="2"/>
  <c r="O85" i="2"/>
  <c r="P23" i="2"/>
  <c r="P24" i="2"/>
  <c r="P85" i="2"/>
  <c r="Q23" i="2"/>
  <c r="Q24" i="2"/>
  <c r="Q85" i="2"/>
  <c r="R23" i="2"/>
  <c r="R24" i="2"/>
  <c r="R85" i="2"/>
  <c r="S23" i="2"/>
  <c r="S24" i="2"/>
  <c r="S85" i="2"/>
  <c r="T23" i="2"/>
  <c r="T24" i="2"/>
  <c r="T85" i="2"/>
  <c r="U23" i="2"/>
  <c r="E24" i="2"/>
  <c r="E85" i="2"/>
  <c r="U24" i="2"/>
  <c r="U85" i="2"/>
  <c r="C74" i="2"/>
  <c r="C75" i="2"/>
  <c r="B74" i="2"/>
  <c r="B75" i="2"/>
  <c r="T77" i="2"/>
  <c r="R77" i="2"/>
  <c r="L77" i="2"/>
  <c r="U77" i="2"/>
  <c r="D77" i="2"/>
  <c r="R28" i="2"/>
  <c r="C28" i="2"/>
  <c r="D28" i="2"/>
  <c r="E30" i="2"/>
  <c r="F28" i="2"/>
  <c r="G28" i="2"/>
  <c r="K28" i="2"/>
  <c r="L28" i="2"/>
  <c r="M30" i="2"/>
  <c r="N28" i="2"/>
  <c r="O28" i="2"/>
  <c r="P28" i="2"/>
  <c r="S28" i="2"/>
  <c r="U30" i="2"/>
  <c r="B30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B19" i="2"/>
  <c r="B77" i="2"/>
  <c r="C77" i="2"/>
  <c r="C78" i="2"/>
  <c r="C87" i="2"/>
  <c r="T30" i="2"/>
  <c r="J28" i="2"/>
  <c r="Q30" i="2"/>
  <c r="E28" i="2"/>
  <c r="E29" i="2"/>
  <c r="E50" i="2"/>
  <c r="U28" i="2"/>
  <c r="U29" i="2"/>
  <c r="U50" i="2"/>
  <c r="U51" i="2"/>
  <c r="L30" i="2"/>
  <c r="L29" i="2"/>
  <c r="L50" i="2"/>
  <c r="I30" i="2"/>
  <c r="M28" i="2"/>
  <c r="M29" i="2"/>
  <c r="M50" i="2"/>
  <c r="D30" i="2"/>
  <c r="D29" i="2"/>
  <c r="D50" i="2"/>
  <c r="S30" i="2"/>
  <c r="S29" i="2"/>
  <c r="S50" i="2"/>
  <c r="K30" i="2"/>
  <c r="K29" i="2"/>
  <c r="K50" i="2"/>
  <c r="C30" i="2"/>
  <c r="C29" i="2"/>
  <c r="C50" i="2"/>
  <c r="T28" i="2"/>
  <c r="T29" i="2"/>
  <c r="T50" i="2"/>
  <c r="T51" i="2"/>
  <c r="R30" i="2"/>
  <c r="R29" i="2"/>
  <c r="R50" i="2"/>
  <c r="J30" i="2"/>
  <c r="P30" i="2"/>
  <c r="P29" i="2"/>
  <c r="P50" i="2"/>
  <c r="H30" i="2"/>
  <c r="Q28" i="2"/>
  <c r="I28" i="2"/>
  <c r="B28" i="2"/>
  <c r="B29" i="2"/>
  <c r="B50" i="2"/>
  <c r="B51" i="2"/>
  <c r="O30" i="2"/>
  <c r="O29" i="2"/>
  <c r="O50" i="2"/>
  <c r="O51" i="2"/>
  <c r="G30" i="2"/>
  <c r="G29" i="2"/>
  <c r="G50" i="2"/>
  <c r="H28" i="2"/>
  <c r="N30" i="2"/>
  <c r="N29" i="2"/>
  <c r="N50" i="2"/>
  <c r="F30" i="2"/>
  <c r="F29" i="2"/>
  <c r="F50" i="2"/>
  <c r="B36" i="2"/>
  <c r="L78" i="2"/>
  <c r="L87" i="2"/>
  <c r="C52" i="9"/>
  <c r="C53" i="9"/>
  <c r="C45" i="9"/>
  <c r="C44" i="9"/>
  <c r="C61" i="9"/>
  <c r="C34" i="9"/>
  <c r="C35" i="9"/>
  <c r="C60" i="9"/>
  <c r="C26" i="9"/>
  <c r="C59" i="9"/>
  <c r="C15" i="9"/>
  <c r="C58" i="9"/>
  <c r="D88" i="8"/>
  <c r="C83" i="8"/>
  <c r="A75" i="8"/>
  <c r="C73" i="8"/>
  <c r="C74" i="8"/>
  <c r="B86" i="8"/>
  <c r="B73" i="8"/>
  <c r="B44" i="8"/>
  <c r="B85" i="8"/>
  <c r="B34" i="8"/>
  <c r="D28" i="8"/>
  <c r="D27" i="8"/>
  <c r="E26" i="8"/>
  <c r="B26" i="8"/>
  <c r="B21" i="8"/>
  <c r="B84" i="8"/>
  <c r="C20" i="8"/>
  <c r="C19" i="8"/>
  <c r="B99" i="7"/>
  <c r="D86" i="7"/>
  <c r="B83" i="7"/>
  <c r="C83" i="7"/>
  <c r="B81" i="7"/>
  <c r="A73" i="7"/>
  <c r="C71" i="7"/>
  <c r="C72" i="7"/>
  <c r="B84" i="7"/>
  <c r="C84" i="7"/>
  <c r="B71" i="7"/>
  <c r="B44" i="7"/>
  <c r="B34" i="7"/>
  <c r="D28" i="7"/>
  <c r="D27" i="7"/>
  <c r="C20" i="7"/>
  <c r="B20" i="7"/>
  <c r="B21" i="7"/>
  <c r="C19" i="7"/>
  <c r="C81" i="7"/>
  <c r="D86" i="6"/>
  <c r="B81" i="6"/>
  <c r="A73" i="6"/>
  <c r="C72" i="6"/>
  <c r="B84" i="6"/>
  <c r="C84" i="6"/>
  <c r="C71" i="6"/>
  <c r="B71" i="6"/>
  <c r="B44" i="6"/>
  <c r="B83" i="6"/>
  <c r="B34" i="6"/>
  <c r="D28" i="6"/>
  <c r="D27" i="6"/>
  <c r="B21" i="6"/>
  <c r="B26" i="6"/>
  <c r="E26" i="6"/>
  <c r="C20" i="6"/>
  <c r="B20" i="6"/>
  <c r="C19" i="6"/>
  <c r="C81" i="6"/>
  <c r="D86" i="5"/>
  <c r="B83" i="5"/>
  <c r="C83" i="5"/>
  <c r="B82" i="5"/>
  <c r="B81" i="5"/>
  <c r="A73" i="5"/>
  <c r="B71" i="5"/>
  <c r="C69" i="5"/>
  <c r="C68" i="5"/>
  <c r="C66" i="5"/>
  <c r="C71" i="5"/>
  <c r="C72" i="5"/>
  <c r="B84" i="5"/>
  <c r="B44" i="5"/>
  <c r="B34" i="5"/>
  <c r="D28" i="5"/>
  <c r="E28" i="5"/>
  <c r="B28" i="5"/>
  <c r="D27" i="5"/>
  <c r="B21" i="5"/>
  <c r="B26" i="5"/>
  <c r="E26" i="5"/>
  <c r="C20" i="5"/>
  <c r="C19" i="5"/>
  <c r="C87" i="5"/>
  <c r="D89" i="1"/>
  <c r="B85" i="1"/>
  <c r="A75" i="1"/>
  <c r="C74" i="1"/>
  <c r="B87" i="1"/>
  <c r="C73" i="1"/>
  <c r="B73" i="1"/>
  <c r="B44" i="1"/>
  <c r="B86" i="1"/>
  <c r="B34" i="1"/>
  <c r="D28" i="1"/>
  <c r="E28" i="1"/>
  <c r="B28" i="1"/>
  <c r="D27" i="1"/>
  <c r="E27" i="1"/>
  <c r="B27" i="1"/>
  <c r="B47" i="1"/>
  <c r="B48" i="1"/>
  <c r="C75" i="1"/>
  <c r="B21" i="1"/>
  <c r="B26" i="1"/>
  <c r="E26" i="1"/>
  <c r="C20" i="1"/>
  <c r="C19" i="1"/>
  <c r="C84" i="1"/>
  <c r="L90" i="2"/>
  <c r="L88" i="2"/>
  <c r="L89" i="2"/>
  <c r="D78" i="2"/>
  <c r="D87" i="2"/>
  <c r="C90" i="2"/>
  <c r="C88" i="2"/>
  <c r="C89" i="2"/>
  <c r="B76" i="2"/>
  <c r="T78" i="2"/>
  <c r="T87" i="2"/>
  <c r="B78" i="2"/>
  <c r="B87" i="2"/>
  <c r="R78" i="2"/>
  <c r="R87" i="2"/>
  <c r="H76" i="2"/>
  <c r="S76" i="2"/>
  <c r="M78" i="2"/>
  <c r="M87" i="2"/>
  <c r="L76" i="2"/>
  <c r="N78" i="2"/>
  <c r="N87" i="2"/>
  <c r="K76" i="2"/>
  <c r="I76" i="2"/>
  <c r="N76" i="2"/>
  <c r="U76" i="2"/>
  <c r="O76" i="2"/>
  <c r="G76" i="2"/>
  <c r="F78" i="2"/>
  <c r="F87" i="2"/>
  <c r="F76" i="2"/>
  <c r="T76" i="2"/>
  <c r="S78" i="2"/>
  <c r="S87" i="2"/>
  <c r="J78" i="2"/>
  <c r="J87" i="2"/>
  <c r="P78" i="2"/>
  <c r="P87" i="2"/>
  <c r="Q78" i="2"/>
  <c r="Q87" i="2"/>
  <c r="D76" i="2"/>
  <c r="O78" i="2"/>
  <c r="O87" i="2"/>
  <c r="E76" i="2"/>
  <c r="I78" i="2"/>
  <c r="I87" i="2"/>
  <c r="M76" i="2"/>
  <c r="Q76" i="2"/>
  <c r="P76" i="2"/>
  <c r="R76" i="2"/>
  <c r="J76" i="2"/>
  <c r="E78" i="2"/>
  <c r="E87" i="2"/>
  <c r="G78" i="2"/>
  <c r="G87" i="2"/>
  <c r="H78" i="2"/>
  <c r="H87" i="2"/>
  <c r="K78" i="2"/>
  <c r="K87" i="2"/>
  <c r="G51" i="2"/>
  <c r="R51" i="2"/>
  <c r="L51" i="2"/>
  <c r="C76" i="2"/>
  <c r="U78" i="2"/>
  <c r="U87" i="2"/>
  <c r="Q29" i="2"/>
  <c r="Q50" i="2"/>
  <c r="Q51" i="2"/>
  <c r="C51" i="2"/>
  <c r="E51" i="2"/>
  <c r="F51" i="2"/>
  <c r="S51" i="2"/>
  <c r="N51" i="2"/>
  <c r="P51" i="2"/>
  <c r="D51" i="2"/>
  <c r="I29" i="2"/>
  <c r="I50" i="2"/>
  <c r="I51" i="2"/>
  <c r="K51" i="2"/>
  <c r="M51" i="2"/>
  <c r="J29" i="2"/>
  <c r="J50" i="2"/>
  <c r="J51" i="2"/>
  <c r="H29" i="2"/>
  <c r="H50" i="2"/>
  <c r="H51" i="2"/>
  <c r="B89" i="8"/>
  <c r="C85" i="8"/>
  <c r="C87" i="1"/>
  <c r="B99" i="5"/>
  <c r="B100" i="5"/>
  <c r="C62" i="9"/>
  <c r="B87" i="8"/>
  <c r="B88" i="8"/>
  <c r="B101" i="8"/>
  <c r="B102" i="8"/>
  <c r="C86" i="8"/>
  <c r="C86" i="1"/>
  <c r="B90" i="1"/>
  <c r="B87" i="5"/>
  <c r="C84" i="5"/>
  <c r="C83" i="6"/>
  <c r="B87" i="6"/>
  <c r="B28" i="7"/>
  <c r="E28" i="7"/>
  <c r="B82" i="7"/>
  <c r="B27" i="7"/>
  <c r="B26" i="7"/>
  <c r="E26" i="7"/>
  <c r="B88" i="1"/>
  <c r="B89" i="1"/>
  <c r="B27" i="6"/>
  <c r="B27" i="5"/>
  <c r="B101" i="5"/>
  <c r="B82" i="6"/>
  <c r="B28" i="8"/>
  <c r="B102" i="1"/>
  <c r="B103" i="1"/>
  <c r="B85" i="5"/>
  <c r="B86" i="5"/>
  <c r="B28" i="6"/>
  <c r="E28" i="6"/>
  <c r="C81" i="5"/>
  <c r="B87" i="7"/>
  <c r="N90" i="2"/>
  <c r="N88" i="2"/>
  <c r="N89" i="2"/>
  <c r="K90" i="2"/>
  <c r="K88" i="2"/>
  <c r="K89" i="2"/>
  <c r="S90" i="2"/>
  <c r="S88" i="2"/>
  <c r="S89" i="2"/>
  <c r="G90" i="2"/>
  <c r="G88" i="2"/>
  <c r="G89" i="2"/>
  <c r="U90" i="2"/>
  <c r="U88" i="2"/>
  <c r="U89" i="2"/>
  <c r="E90" i="2"/>
  <c r="E88" i="2"/>
  <c r="E89" i="2"/>
  <c r="O90" i="2"/>
  <c r="O88" i="2"/>
  <c r="O89" i="2"/>
  <c r="F88" i="2"/>
  <c r="F89" i="2"/>
  <c r="F90" i="2"/>
  <c r="B88" i="2"/>
  <c r="B90" i="2"/>
  <c r="I90" i="2"/>
  <c r="I88" i="2"/>
  <c r="I89" i="2"/>
  <c r="H88" i="2"/>
  <c r="H89" i="2"/>
  <c r="H90" i="2"/>
  <c r="Q90" i="2"/>
  <c r="Q88" i="2"/>
  <c r="Q89" i="2"/>
  <c r="D90" i="2"/>
  <c r="D88" i="2"/>
  <c r="D89" i="2"/>
  <c r="P90" i="2"/>
  <c r="P88" i="2"/>
  <c r="P89" i="2"/>
  <c r="T88" i="2"/>
  <c r="T89" i="2"/>
  <c r="T90" i="2"/>
  <c r="M90" i="2"/>
  <c r="M88" i="2"/>
  <c r="M89" i="2"/>
  <c r="J88" i="2"/>
  <c r="J89" i="2"/>
  <c r="J90" i="2"/>
  <c r="R88" i="2"/>
  <c r="R89" i="2"/>
  <c r="R90" i="2"/>
  <c r="B103" i="8"/>
  <c r="E27" i="7"/>
  <c r="B47" i="7"/>
  <c r="B48" i="7"/>
  <c r="C73" i="7"/>
  <c r="B27" i="8"/>
  <c r="E28" i="8"/>
  <c r="B100" i="7"/>
  <c r="B101" i="7"/>
  <c r="B85" i="7"/>
  <c r="B86" i="7"/>
  <c r="B102" i="7"/>
  <c r="E27" i="6"/>
  <c r="B47" i="6"/>
  <c r="B48" i="6"/>
  <c r="C73" i="6"/>
  <c r="B104" i="1"/>
  <c r="B85" i="6"/>
  <c r="B86" i="6"/>
  <c r="B99" i="6"/>
  <c r="B100" i="6"/>
  <c r="E27" i="5"/>
  <c r="B47" i="5"/>
  <c r="B48" i="5"/>
  <c r="C73" i="5"/>
  <c r="B99" i="2"/>
  <c r="B89" i="2"/>
  <c r="B47" i="8"/>
  <c r="B48" i="8"/>
  <c r="C75" i="8"/>
  <c r="E27" i="8"/>
  <c r="B101" i="6"/>
</calcChain>
</file>

<file path=xl/comments1.xml><?xml version="1.0" encoding="utf-8"?>
<comments xmlns="http://schemas.openxmlformats.org/spreadsheetml/2006/main">
  <authors>
    <author>tc={70E35ED4-D446-4545-8549-FB7242F7765C}</author>
    <author>tc={9A1ED889-87CD-49A4-B8F7-790F7D75ABEA}</author>
    <author>tc={EDE71650-D655-42FD-B6DE-CA062BE262E7}</author>
    <author>tc={B91EF5C5-BD11-4164-8BA8-BE935A6275E3}</author>
  </authors>
  <commentList>
    <comment ref="B17" authorId="0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3 cuttings</t>
        </r>
      </text>
    </comment>
    <comment ref="B45" authorId="1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packing bags</t>
        </r>
      </text>
    </comment>
    <comment ref="B72" authorId="2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spinning</t>
        </r>
      </text>
    </comment>
    <comment ref="B73" authorId="3" shapeId="0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bagging</t>
        </r>
      </text>
    </comment>
  </commentList>
</comments>
</file>

<file path=xl/sharedStrings.xml><?xml version="1.0" encoding="utf-8"?>
<sst xmlns="http://schemas.openxmlformats.org/spreadsheetml/2006/main" count="689" uniqueCount="245">
  <si>
    <t xml:space="preserve">Crop Costing Budget Worksheet </t>
  </si>
  <si>
    <t>for wholesale readiness</t>
  </si>
  <si>
    <t>fill in peach cells</t>
  </si>
  <si>
    <t>don't write over grey cells</t>
  </si>
  <si>
    <t>High Tunnel Model Pre-Work</t>
  </si>
  <si>
    <t>Take notes Column G on your assumptions so you can recall your decision making process</t>
  </si>
  <si>
    <t>Step 1: Fill in your crop, unit of measure, bed length and rows per bed below in the peach cells.</t>
  </si>
  <si>
    <t>C. Plan out your crops for each bed, with a 2 season plan.</t>
  </si>
  <si>
    <t>Crop:</t>
  </si>
  <si>
    <t>Harvest Unit of Measure:</t>
  </si>
  <si>
    <t>Bed length (linear feet)</t>
  </si>
  <si>
    <t>Rows per bed</t>
  </si>
  <si>
    <t>Step 2: Consult your records for yield per bed, based on bed length and rows entered above.</t>
  </si>
  <si>
    <t>enter the wholesale price that you are testing with this model.</t>
  </si>
  <si>
    <t>enter a margin goal for this product - at least 20% for wholesale and 40% for retail is recommended.</t>
  </si>
  <si>
    <t>These sheets are meant to be used as general guidelines, and the user should verify their own numbers and assumptions.</t>
  </si>
  <si>
    <t>Yield per bed (see row 9)</t>
  </si>
  <si>
    <t>Wholesale Price per unit</t>
  </si>
  <si>
    <t>If unknown, use the USDA AMS Specialty Crop Pricing</t>
  </si>
  <si>
    <t>Total Sale</t>
  </si>
  <si>
    <t>Profit margin goal</t>
  </si>
  <si>
    <t>Step 3: Enter the number of beds you plan to plant with this crop for wholesale in the peach cell below.</t>
  </si>
  <si>
    <t>Totals:</t>
  </si>
  <si>
    <t>Projected Revenues</t>
  </si>
  <si>
    <t>Plot Name</t>
  </si>
  <si>
    <t>x number of beds:</t>
  </si>
  <si>
    <t>Budgeted Expenses</t>
  </si>
  <si>
    <t>Budgeted Profits</t>
  </si>
  <si>
    <t>Step 4: Enter your cost per hour (or an average cost) for labor.  Then enter your rate for taxes and benefits.</t>
  </si>
  <si>
    <t>Field Labor: cost per hour</t>
  </si>
  <si>
    <t>Taxes and Fringe Benefits</t>
  </si>
  <si>
    <t>Effective labor costs per hour</t>
  </si>
  <si>
    <t>Step 5: Enter your costs of direct inputs per bed (rememeber your bed length and rows entered in step 1).</t>
  </si>
  <si>
    <t>List your costs of seeds or starts, soil ammendments, or other inputs.  Use scratch paper as needed or create a new tab to organize your "other" items.</t>
  </si>
  <si>
    <t>Direct Costs</t>
  </si>
  <si>
    <t>Margin</t>
  </si>
  <si>
    <t>Crop 3</t>
  </si>
  <si>
    <t>Crop 4</t>
  </si>
  <si>
    <t>Crop 5</t>
  </si>
  <si>
    <t>Crop 6</t>
  </si>
  <si>
    <t>Crop 7</t>
  </si>
  <si>
    <t>Crop 8</t>
  </si>
  <si>
    <t>Crop 9</t>
  </si>
  <si>
    <t>Crop 10</t>
  </si>
  <si>
    <t>Crop 11</t>
  </si>
  <si>
    <t>Crop 12</t>
  </si>
  <si>
    <t>Crop 2</t>
  </si>
  <si>
    <t>Fill in the peach cell below for the name of the opportunity, and the cost for the growing cycle.</t>
  </si>
  <si>
    <t>Results will show you the effective impact on your margin for the period of time that you incur the cost of the opportunity.</t>
  </si>
  <si>
    <t xml:space="preserve">Be sure to adjust your labor or input numbers above to show the impact of the purchase.  </t>
  </si>
  <si>
    <t>Cost of High Tunnel (incl interest)</t>
  </si>
  <si>
    <t>NRCS or Other reimbursement</t>
  </si>
  <si>
    <t>Out of Pocket Cost</t>
  </si>
  <si>
    <t>Total Year 1 Margins</t>
  </si>
  <si>
    <t>If you don't know your plant start costs in your greenhouse, use the "Starts" Tab to calculate a cost.</t>
  </si>
  <si>
    <t>Seeds or Starts</t>
  </si>
  <si>
    <t>Soil Ammendments</t>
  </si>
  <si>
    <t>Other 1</t>
  </si>
  <si>
    <t>Any direct costs that can be tracked / bed</t>
  </si>
  <si>
    <t>Other 2</t>
  </si>
  <si>
    <t>SUBTOTAL</t>
  </si>
  <si>
    <t>Note your labor budget: This is the (projected revenue - direct costs - margin goal) = your remaining budget for labor</t>
  </si>
  <si>
    <t>Labor Budget per bed</t>
  </si>
  <si>
    <t>Labor Budget in Hours, per bed</t>
  </si>
  <si>
    <t>Based on a goal of the margin you set, after direct costs.</t>
  </si>
  <si>
    <t>Step 6: Enter your labor plan PER BED, using the same bed size and rows entered in step 1.</t>
  </si>
  <si>
    <t>You are making estimates unless you have already collected data.  Over the course of the season, you should refer to your estimates and aim to meet your plan.</t>
  </si>
  <si>
    <t>A "feasible" budget for your wholesale price is less than or equal to your labor budget in hours per bed.</t>
  </si>
  <si>
    <t>Activity</t>
  </si>
  <si>
    <t># of passes per crop over the lifespan of a crop (must be at least 1 to calculate)</t>
  </si>
  <si>
    <t>Time (in minutes) per pass (best estimate)</t>
  </si>
  <si>
    <t>Notes:</t>
  </si>
  <si>
    <t>Bed preparation</t>
  </si>
  <si>
    <t>Seeding or transplanting</t>
  </si>
  <si>
    <t>Thinning</t>
  </si>
  <si>
    <t>Cultivating</t>
  </si>
  <si>
    <t>Hand Weeding</t>
  </si>
  <si>
    <t>Pruning</t>
  </si>
  <si>
    <t>Trellising/Tying</t>
  </si>
  <si>
    <t>Irrigation</t>
  </si>
  <si>
    <t>Weather protection</t>
  </si>
  <si>
    <t>Fertilizing (side dress or foliar)</t>
  </si>
  <si>
    <t>Pest control (scouting, application)</t>
  </si>
  <si>
    <t>Harvesting to wash shed</t>
  </si>
  <si>
    <t>Clearing/Plowing under</t>
  </si>
  <si>
    <t>Washing/Packing</t>
  </si>
  <si>
    <t>Other</t>
  </si>
  <si>
    <t>SUBTOTAL: LABOR TIME in MINUTES</t>
  </si>
  <si>
    <t>SUBTOTAL: LABOR TIME in HOURS</t>
  </si>
  <si>
    <t>Compare assumed Labor Hours to Labor Budget in Hours</t>
  </si>
  <si>
    <t>Step 7: Review your crop cost analysis below.  Here you can experiment with the projected return on the number of beds.</t>
  </si>
  <si>
    <t>Fill in the peach cell below for # of beds.</t>
  </si>
  <si>
    <t>Use this data for the info in individual crops in  "1. Crop List" tab in Budget spreadshet</t>
  </si>
  <si>
    <t>Summary Crop Cost Analysis</t>
  </si>
  <si>
    <t># of beds in crop plan</t>
  </si>
  <si>
    <t># of plantings</t>
  </si>
  <si>
    <t>Projected total yield</t>
  </si>
  <si>
    <t>From the price and yields entered above</t>
  </si>
  <si>
    <t>Income</t>
  </si>
  <si>
    <t>% of labor budget:</t>
  </si>
  <si>
    <t>Labor</t>
  </si>
  <si>
    <t>Margin %</t>
  </si>
  <si>
    <t>VS. Margin Goal:</t>
  </si>
  <si>
    <t>Cost per unit:</t>
  </si>
  <si>
    <t>Step 8: Use this section to experiment with a variable such as equipment purchase.  This shows you a different scenario's outcome.</t>
  </si>
  <si>
    <t>Best practice is to create a new tab and copy this entire sheet - then experiment with the opportunity in a new tab to protect your data.</t>
  </si>
  <si>
    <t>Compare your results between tabs to see if you want to pursue the opportunity!</t>
  </si>
  <si>
    <t>Opportunity Assessment Scenario:</t>
  </si>
  <si>
    <t>Other Costs</t>
  </si>
  <si>
    <t>head lettuce</t>
  </si>
  <si>
    <t>head</t>
  </si>
  <si>
    <t>case-size head lettuce</t>
  </si>
  <si>
    <t>Soil Amendments</t>
  </si>
  <si>
    <t>Permanent bed setup, with tarps and no tillage</t>
  </si>
  <si>
    <t>5 week grow period</t>
  </si>
  <si>
    <t>1 sheet row cover, five times</t>
  </si>
  <si>
    <t>slug-O application</t>
  </si>
  <si>
    <t>field packing:  7 minutes /case * 15 cases</t>
  </si>
  <si>
    <t>fieldpacked "hydrocooling"</t>
  </si>
  <si>
    <t>10% Wasted time</t>
  </si>
  <si>
    <t>% of COGS:</t>
  </si>
  <si>
    <t>The time you projected multiplied by your effective labor cost multiplied by # of beds</t>
  </si>
  <si>
    <t>Gross Profit</t>
  </si>
  <si>
    <t>Gross Margin %</t>
  </si>
  <si>
    <t>finance root washer purchase,  $2105 per year for 2 years, with 25% assigned to carrots.</t>
  </si>
  <si>
    <t>Remember that labor could be changed by the purchase of this equipment so copying a whole new sheet with new labor numbers is more accurate</t>
  </si>
  <si>
    <t>Impact on margin during debt payment</t>
  </si>
  <si>
    <t>carrots</t>
  </si>
  <si>
    <t>pounds</t>
  </si>
  <si>
    <t>Washing time reduced using root washer</t>
  </si>
  <si>
    <t>Overall time reduced using root washer</t>
  </si>
  <si>
    <t>Assign % of new equipment purchase to new commodity based on percentage of total time used by commodity</t>
  </si>
  <si>
    <t>Total Cost</t>
  </si>
  <si>
    <t>root washer payment</t>
  </si>
  <si>
    <t>Percentage of time</t>
  </si>
  <si>
    <t>By Commodity Cost</t>
  </si>
  <si>
    <t>baby greens</t>
  </si>
  <si>
    <t>Starts Cost Worksheet: crop costing input</t>
  </si>
  <si>
    <t>row cover</t>
  </si>
  <si>
    <t>packaging - bags x 135</t>
  </si>
  <si>
    <t>Step 1: Fill in crop name</t>
  </si>
  <si>
    <t>Watermelon</t>
  </si>
  <si>
    <t>Time (in minutes) per pass</t>
  </si>
  <si>
    <t>Bed preparation - tractor</t>
  </si>
  <si>
    <t>Bed preparation - handwork</t>
  </si>
  <si>
    <t>Step 2: Fill in tray information</t>
  </si>
  <si>
    <t>If your trays don't usually 100% germinate, enter a number of useable plants instead of tray size.</t>
  </si>
  <si>
    <t>moving overhead rainbirds</t>
  </si>
  <si>
    <t>depending on season, float row cover or low tunnel</t>
  </si>
  <si>
    <t>winter baby greens crop cost might look different from summer version</t>
  </si>
  <si>
    <t>Harvesting to wash shed - handcut</t>
  </si>
  <si>
    <t>TRAYS</t>
  </si>
  <si>
    <t xml:space="preserve">hand cut 45 lbs/ hour. look at investment of greens cutter vs this labor cost - ranging from $300- $10K </t>
  </si>
  <si>
    <t>Tray Size or Useable Plants per Tray</t>
  </si>
  <si>
    <t>Washing (triple wash)</t>
  </si>
  <si>
    <t>Spinning</t>
  </si>
  <si>
    <t>you would need an industrial spinner doing 5-8lbs per spin cycle to achieve this timing</t>
  </si>
  <si>
    <t>Bagging</t>
  </si>
  <si>
    <t>fill bag in 3 minutes</t>
  </si>
  <si>
    <t># of uses per tray</t>
  </si>
  <si>
    <t>Cost of tray</t>
  </si>
  <si>
    <t>Tray Cost per plant</t>
  </si>
  <si>
    <t>Step 3: Fill in the cost of seed per tray, potting soil, other products.</t>
  </si>
  <si>
    <t>Be sure to enter costs by TRAY.</t>
  </si>
  <si>
    <t>Potting soil per tray can be calculated by measuring the soil required and comparing to your costs of bulk soil.</t>
  </si>
  <si>
    <t>PRODUCTS</t>
  </si>
  <si>
    <t>Seed (tray)</t>
  </si>
  <si>
    <t>Potting soil</t>
  </si>
  <si>
    <t>Other products</t>
  </si>
  <si>
    <t>Tag</t>
  </si>
  <si>
    <t>Product Cost per plant</t>
  </si>
  <si>
    <t>Step 4: Calcuate your Greenhouse "Rent" per tray.</t>
  </si>
  <si>
    <t>Industrial spinner purchase</t>
  </si>
  <si>
    <t xml:space="preserve">Total Greenhouse costs include maintenance, utilities and other direct costs of running the GH. Use your planting plan to enter a number of trays run through the GH per YEAR.		</t>
  </si>
  <si>
    <t>GREENHOUSE COST</t>
  </si>
  <si>
    <t>Total Greenhouse costs per year</t>
  </si>
  <si>
    <t>Can pull from prior year P&amp;L. Utitlies, heat, new cover cost installation per year, etc.</t>
  </si>
  <si>
    <t># of trays per year</t>
  </si>
  <si>
    <t>Greenhouse "rent" per tray</t>
  </si>
  <si>
    <t>one time</t>
  </si>
  <si>
    <t>Rent per plant</t>
  </si>
  <si>
    <t>Step 5: Calculate your labor per tray.  All inputs are in reference to the crop in step 1.</t>
  </si>
  <si>
    <t>FILLING &amp; SEEDING LABOR PER TRAY</t>
  </si>
  <si>
    <t># of trays filled per hour</t>
  </si>
  <si>
    <t># of trays seeded per hour</t>
  </si>
  <si>
    <t>Greenhouse Labor rate</t>
  </si>
  <si>
    <t>Tray filling labor</t>
  </si>
  <si>
    <t>Seeding labor</t>
  </si>
  <si>
    <t>Step 6: Calculate your general labor per tray.  All inputs are in reference to the ENTIRE greenhouse starts season.</t>
  </si>
  <si>
    <t>GENERAL GREENHOUSE LABOR</t>
  </si>
  <si>
    <t>Hours per week of general labor in GH</t>
  </si>
  <si>
    <t>Watering, scouting, etc.</t>
  </si>
  <si>
    <t># of weeks of labor in GH for starts season</t>
  </si>
  <si>
    <t>How many weeks do you actually grow starts</t>
  </si>
  <si>
    <t>Total cost of general labor in GH for starts</t>
  </si>
  <si>
    <t>Greenhouse labor,  per tray</t>
  </si>
  <si>
    <t>Step 7: Review your results</t>
  </si>
  <si>
    <t>SUBTOTALS</t>
  </si>
  <si>
    <t>Labor per plant</t>
  </si>
  <si>
    <t>Cost of Starts, per plant</t>
  </si>
  <si>
    <t>Compare to price of a purchased start to determine viability</t>
  </si>
  <si>
    <t>High Tunnel ROI Worksheet</t>
  </si>
  <si>
    <t>modified crop costing model</t>
  </si>
  <si>
    <t>B. Determine the usable beds/plots in your tunnel.  Name each grow plot in your sketch.</t>
  </si>
  <si>
    <t xml:space="preserve">A. Create a sketch of your tunnel layout with the beds and pathways.  </t>
  </si>
  <si>
    <t>Crop 1</t>
  </si>
  <si>
    <t>Crop Name</t>
  </si>
  <si>
    <t>Plot Square Feet</t>
  </si>
  <si>
    <t>weeks per grow cycle</t>
  </si>
  <si>
    <t>Useage % of plot</t>
  </si>
  <si>
    <t>Harvest Unit of Measure</t>
  </si>
  <si>
    <t># of grow cycles</t>
  </si>
  <si>
    <t xml:space="preserve">Yield per plot per cycle (see row 14/15) </t>
  </si>
  <si>
    <t>Total Sales per Cycle</t>
  </si>
  <si>
    <t>Total Sales x grow cycles (see row 17)</t>
  </si>
  <si>
    <t>Step 1: Fill in the information for each crop by plot and # of harvest cycles</t>
  </si>
  <si>
    <t>Step 3: Enter your cost per hour (or an average cost) for labor.  Then enter your rate for taxes and benefits.</t>
  </si>
  <si>
    <t>Step 4: Enter your costs of direct inputs per plot (rememeber your plot size entered in row 16).</t>
  </si>
  <si>
    <t>Labor Budget per plot</t>
  </si>
  <si>
    <t>Use equation = # of passes per crop/plot over the lifespan of a crop cycle (must be at least 1 to calculate) x Time (in minutes) per pass (best estimate)</t>
  </si>
  <si>
    <t>Crop 13</t>
  </si>
  <si>
    <t>Crop 14</t>
  </si>
  <si>
    <t>Crop 15</t>
  </si>
  <si>
    <t>Crop 16</t>
  </si>
  <si>
    <t>Crop 17</t>
  </si>
  <si>
    <t>Crop 18</t>
  </si>
  <si>
    <t>Crop 19</t>
  </si>
  <si>
    <t>Crop 20</t>
  </si>
  <si>
    <t xml:space="preserve">Step 2: Enter your profit margin goal, and the sheet will calcuate your projected sales, budgeted expenses and budgeted margin, per grow cycle.  </t>
  </si>
  <si>
    <t>Step 5: Enter your labor plan PER PLOT, using the same plot size entered in step 1.  This data is for 1 growing cycle.</t>
  </si>
  <si>
    <t>Summary Analysis</t>
  </si>
  <si>
    <t xml:space="preserve">Step 7: Review your crop cost analysis below. </t>
  </si>
  <si>
    <t>Step 8: Use this section to address breakeven &amp; ROI on your high tunnel</t>
  </si>
  <si>
    <t>Fill in the peach cells below for the costs of your tunnel and any reimbursement</t>
  </si>
  <si>
    <t>A</t>
  </si>
  <si>
    <t>B</t>
  </si>
  <si>
    <t>each</t>
  </si>
  <si>
    <t>List your costs of seeds or starts, soil ammendments, or other inputs.  Use the comment key for a description on "other" fields.</t>
  </si>
  <si>
    <t>Labor Budget in Hours, per plot (based on margin goal)</t>
  </si>
  <si>
    <t>x # of grow cycles</t>
  </si>
  <si>
    <t>COST OF LABOR TIME</t>
  </si>
  <si>
    <t>COST OF LABOR TIME x GROW CYCLES</t>
  </si>
  <si>
    <t>LABOR TIME x # of Grow cycles in HOURS</t>
  </si>
  <si>
    <t>vs. YOUR margin goal?</t>
  </si>
  <si>
    <t>Net Impact of Purchase,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</si>
</sst>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&quot;$&quot;#,##0.0000"/>
    <numFmt numFmtId="168" formatCode="_(* #,##0_);_(* \(#,##0\);_(* &quot;-&quot;??_);_(@_)"/>
    <numFmt numFmtId="169" formatCode="_(&quot;$&quot;* #,##0_);_(&quot;$&quot;* \(#,##0\);_(&quot;$&quot;* &quot;-&quot;??_);_(@_)"/>
  </numFmts>
  <fonts count="22">
    <font>
      <sz val="11"/>
      <color rgb="FF000000"/>
      <name val="Calibri"/>
    </font>
    <font>
      <sz val="11"/>
      <name val="Calibri"/>
    </font>
    <font>
      <i/>
      <sz val="11"/>
      <name val="Calibri"/>
    </font>
    <font>
      <b/>
      <sz val="11"/>
      <color rgb="FF000000"/>
      <name val="Calibri"/>
    </font>
    <font>
      <sz val="11"/>
      <color rgb="FF3F3F76"/>
      <name val="Calibri"/>
    </font>
    <font>
      <b/>
      <i/>
      <sz val="11"/>
      <name val="Calibri"/>
    </font>
    <font>
      <b/>
      <i/>
      <sz val="11"/>
      <name val="Calibri"/>
    </font>
    <font>
      <sz val="11"/>
      <name val="Calibri"/>
    </font>
    <font>
      <b/>
      <i/>
      <sz val="11"/>
      <color rgb="FF222222"/>
      <name val="Calibri"/>
    </font>
    <font>
      <b/>
      <sz val="11"/>
      <name val="Calibri"/>
    </font>
    <font>
      <b/>
      <i/>
      <sz val="11"/>
      <color rgb="FF3F3F76"/>
      <name val="Calibri"/>
    </font>
    <font>
      <b/>
      <u/>
      <sz val="11"/>
      <name val="Calibri"/>
    </font>
    <font>
      <i/>
      <sz val="11"/>
      <color rgb="FF000000"/>
      <name val="Calibri"/>
    </font>
    <font>
      <b/>
      <sz val="11"/>
      <color rgb="FF222222"/>
      <name val="Calibri"/>
    </font>
    <font>
      <b/>
      <i/>
      <sz val="11"/>
      <color rgb="FF000000"/>
      <name val="Calibri"/>
    </font>
    <font>
      <u/>
      <sz val="11"/>
      <name val="Calibri"/>
    </font>
    <font>
      <b/>
      <sz val="11"/>
      <color rgb="FF000000"/>
      <name val="Inconsolata"/>
    </font>
    <font>
      <sz val="11"/>
      <color rgb="FF000000"/>
      <name val="Calibri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FF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71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right"/>
    </xf>
    <xf numFmtId="0" fontId="2" fillId="0" borderId="0" xfId="0" applyFont="1"/>
    <xf numFmtId="0" fontId="4" fillId="2" borderId="1" xfId="0" applyFont="1" applyFill="1" applyBorder="1"/>
    <xf numFmtId="0" fontId="5" fillId="3" borderId="2" xfId="0" applyFont="1" applyFill="1" applyBorder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4" borderId="2" xfId="0" applyFont="1" applyFill="1" applyBorder="1"/>
    <xf numFmtId="0" fontId="4" fillId="2" borderId="1" xfId="0" applyFont="1" applyFill="1" applyBorder="1" applyAlignment="1">
      <alignment horizontal="right"/>
    </xf>
    <xf numFmtId="0" fontId="1" fillId="3" borderId="2" xfId="0" applyFont="1" applyFill="1" applyBorder="1"/>
    <xf numFmtId="8" fontId="4" fillId="2" borderId="1" xfId="0" applyNumberFormat="1" applyFont="1" applyFill="1" applyBorder="1" applyAlignment="1">
      <alignment horizontal="right"/>
    </xf>
    <xf numFmtId="0" fontId="0" fillId="0" borderId="0" xfId="0" applyFont="1"/>
    <xf numFmtId="8" fontId="0" fillId="3" borderId="2" xfId="0" applyNumberFormat="1" applyFont="1" applyFill="1" applyBorder="1" applyAlignment="1">
      <alignment horizontal="right"/>
    </xf>
    <xf numFmtId="9" fontId="4" fillId="2" borderId="1" xfId="0" applyNumberFormat="1" applyFont="1" applyFill="1" applyBorder="1" applyAlignment="1">
      <alignment horizontal="right"/>
    </xf>
    <xf numFmtId="6" fontId="0" fillId="0" borderId="0" xfId="0" applyNumberFormat="1" applyFont="1" applyAlignment="1">
      <alignment horizontal="right"/>
    </xf>
    <xf numFmtId="0" fontId="4" fillId="0" borderId="0" xfId="0" applyFont="1"/>
    <xf numFmtId="164" fontId="1" fillId="0" borderId="0" xfId="0" applyNumberFormat="1" applyFont="1"/>
    <xf numFmtId="6" fontId="0" fillId="3" borderId="2" xfId="0" applyNumberFormat="1" applyFont="1" applyFill="1" applyBorder="1" applyAlignment="1">
      <alignment horizontal="right"/>
    </xf>
    <xf numFmtId="6" fontId="10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right"/>
    </xf>
    <xf numFmtId="6" fontId="4" fillId="2" borderId="1" xfId="0" applyNumberFormat="1" applyFont="1" applyFill="1" applyBorder="1" applyAlignment="1">
      <alignment horizontal="right"/>
    </xf>
    <xf numFmtId="0" fontId="11" fillId="0" borderId="0" xfId="0" applyFont="1"/>
    <xf numFmtId="166" fontId="9" fillId="0" borderId="0" xfId="0" applyNumberFormat="1" applyFont="1"/>
    <xf numFmtId="0" fontId="9" fillId="0" borderId="0" xfId="0" applyFont="1"/>
    <xf numFmtId="0" fontId="12" fillId="0" borderId="0" xfId="0" applyFont="1" applyAlignment="1">
      <alignment horizontal="left"/>
    </xf>
    <xf numFmtId="166" fontId="0" fillId="2" borderId="1" xfId="0" applyNumberFormat="1" applyFont="1" applyFill="1" applyBorder="1" applyAlignment="1">
      <alignment horizontal="right"/>
    </xf>
    <xf numFmtId="0" fontId="13" fillId="4" borderId="2" xfId="0" applyFont="1" applyFill="1" applyBorder="1"/>
    <xf numFmtId="0" fontId="5" fillId="0" borderId="0" xfId="0" applyFont="1" applyAlignment="1">
      <alignment wrapText="1"/>
    </xf>
    <xf numFmtId="0" fontId="14" fillId="0" borderId="0" xfId="0" applyFont="1" applyAlignment="1">
      <alignment horizontal="left"/>
    </xf>
    <xf numFmtId="164" fontId="0" fillId="0" borderId="0" xfId="0" applyNumberFormat="1" applyFont="1"/>
    <xf numFmtId="165" fontId="0" fillId="3" borderId="2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/>
    <xf numFmtId="0" fontId="1" fillId="2" borderId="8" xfId="0" applyFont="1" applyFill="1" applyBorder="1"/>
    <xf numFmtId="165" fontId="1" fillId="3" borderId="2" xfId="0" applyNumberFormat="1" applyFont="1" applyFill="1" applyBorder="1"/>
    <xf numFmtId="0" fontId="5" fillId="6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0" fontId="1" fillId="3" borderId="2" xfId="0" applyFont="1" applyFill="1" applyBorder="1" applyAlignment="1"/>
    <xf numFmtId="164" fontId="0" fillId="3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6" fontId="1" fillId="3" borderId="2" xfId="0" applyNumberFormat="1" applyFont="1" applyFill="1" applyBorder="1" applyAlignment="1">
      <alignment horizontal="right"/>
    </xf>
    <xf numFmtId="9" fontId="1" fillId="6" borderId="2" xfId="0" applyNumberFormat="1" applyFont="1" applyFill="1" applyBorder="1"/>
    <xf numFmtId="8" fontId="1" fillId="3" borderId="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9" fontId="9" fillId="3" borderId="2" xfId="0" applyNumberFormat="1" applyFont="1" applyFill="1" applyBorder="1"/>
    <xf numFmtId="0" fontId="9" fillId="3" borderId="2" xfId="0" applyFont="1" applyFill="1" applyBorder="1" applyAlignment="1">
      <alignment horizontal="center"/>
    </xf>
    <xf numFmtId="166" fontId="0" fillId="6" borderId="2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2" fillId="2" borderId="1" xfId="0" applyFont="1" applyFill="1" applyBorder="1"/>
    <xf numFmtId="166" fontId="16" fillId="3" borderId="2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166" fontId="1" fillId="3" borderId="2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165" fontId="0" fillId="7" borderId="2" xfId="0" applyNumberFormat="1" applyFont="1" applyFill="1" applyBorder="1"/>
    <xf numFmtId="165" fontId="0" fillId="0" borderId="0" xfId="0" applyNumberFormat="1" applyFont="1"/>
    <xf numFmtId="9" fontId="1" fillId="3" borderId="2" xfId="0" applyNumberFormat="1" applyFont="1" applyFill="1" applyBorder="1"/>
    <xf numFmtId="166" fontId="0" fillId="3" borderId="2" xfId="0" applyNumberFormat="1" applyFont="1" applyFill="1" applyBorder="1" applyAlignment="1">
      <alignment horizontal="right"/>
    </xf>
    <xf numFmtId="9" fontId="0" fillId="7" borderId="2" xfId="0" applyNumberFormat="1" applyFont="1" applyFill="1" applyBorder="1"/>
    <xf numFmtId="0" fontId="0" fillId="0" borderId="0" xfId="0" applyFont="1" applyAlignment="1"/>
    <xf numFmtId="9" fontId="0" fillId="2" borderId="1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" fontId="4" fillId="2" borderId="9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left"/>
    </xf>
    <xf numFmtId="8" fontId="4" fillId="2" borderId="8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left"/>
    </xf>
    <xf numFmtId="166" fontId="1" fillId="3" borderId="8" xfId="0" applyNumberFormat="1" applyFont="1" applyFill="1" applyBorder="1"/>
    <xf numFmtId="9" fontId="1" fillId="3" borderId="17" xfId="0" applyNumberFormat="1" applyFont="1" applyFill="1" applyBorder="1"/>
    <xf numFmtId="0" fontId="0" fillId="0" borderId="3" xfId="0" applyFont="1" applyBorder="1" applyAlignment="1">
      <alignment horizontal="left"/>
    </xf>
    <xf numFmtId="8" fontId="4" fillId="2" borderId="2" xfId="0" applyNumberFormat="1" applyFont="1" applyFill="1" applyBorder="1" applyAlignment="1">
      <alignment horizontal="right"/>
    </xf>
    <xf numFmtId="9" fontId="1" fillId="3" borderId="18" xfId="0" applyNumberFormat="1" applyFont="1" applyFill="1" applyBorder="1"/>
    <xf numFmtId="8" fontId="4" fillId="2" borderId="9" xfId="0" applyNumberFormat="1" applyFont="1" applyFill="1" applyBorder="1" applyAlignment="1">
      <alignment horizontal="right"/>
    </xf>
    <xf numFmtId="0" fontId="1" fillId="0" borderId="8" xfId="0" applyFont="1" applyBorder="1"/>
    <xf numFmtId="167" fontId="1" fillId="3" borderId="8" xfId="0" applyNumberFormat="1" applyFont="1" applyFill="1" applyBorder="1"/>
    <xf numFmtId="44" fontId="1" fillId="2" borderId="8" xfId="0" applyNumberFormat="1" applyFont="1" applyFill="1" applyBorder="1"/>
    <xf numFmtId="166" fontId="0" fillId="2" borderId="19" xfId="0" applyNumberFormat="1" applyFont="1" applyFill="1" applyBorder="1" applyAlignment="1">
      <alignment horizontal="right"/>
    </xf>
    <xf numFmtId="0" fontId="0" fillId="2" borderId="19" xfId="0" applyFont="1" applyFill="1" applyBorder="1"/>
    <xf numFmtId="3" fontId="1" fillId="5" borderId="8" xfId="0" applyNumberFormat="1" applyFont="1" applyFill="1" applyBorder="1"/>
    <xf numFmtId="166" fontId="1" fillId="2" borderId="8" xfId="0" applyNumberFormat="1" applyFont="1" applyFill="1" applyBorder="1"/>
    <xf numFmtId="9" fontId="1" fillId="2" borderId="8" xfId="0" applyNumberFormat="1" applyFont="1" applyFill="1" applyBorder="1"/>
    <xf numFmtId="166" fontId="1" fillId="0" borderId="0" xfId="0" applyNumberFormat="1" applyFont="1"/>
    <xf numFmtId="0" fontId="9" fillId="0" borderId="8" xfId="0" applyFont="1" applyBorder="1"/>
    <xf numFmtId="166" fontId="9" fillId="3" borderId="8" xfId="0" applyNumberFormat="1" applyFont="1" applyFill="1" applyBorder="1"/>
    <xf numFmtId="0" fontId="18" fillId="0" borderId="0" xfId="0" applyFont="1" applyFill="1" applyAlignment="1"/>
    <xf numFmtId="0" fontId="20" fillId="0" borderId="0" xfId="0" applyFont="1" applyFill="1" applyAlignment="1"/>
    <xf numFmtId="0" fontId="20" fillId="0" borderId="0" xfId="0" applyFont="1"/>
    <xf numFmtId="0" fontId="19" fillId="0" borderId="0" xfId="0" applyFont="1"/>
    <xf numFmtId="0" fontId="18" fillId="0" borderId="0" xfId="0" applyFont="1"/>
    <xf numFmtId="0" fontId="20" fillId="0" borderId="14" xfId="0" applyFont="1" applyFill="1" applyBorder="1"/>
    <xf numFmtId="0" fontId="21" fillId="0" borderId="0" xfId="0" applyFont="1" applyFill="1" applyAlignment="1"/>
    <xf numFmtId="0" fontId="21" fillId="0" borderId="0" xfId="0" applyFont="1" applyAlignment="1"/>
    <xf numFmtId="0" fontId="18" fillId="0" borderId="14" xfId="0" applyFont="1" applyFill="1" applyBorder="1"/>
    <xf numFmtId="0" fontId="18" fillId="0" borderId="0" xfId="0" applyFont="1" applyAlignment="1">
      <alignment horizontal="right"/>
    </xf>
    <xf numFmtId="0" fontId="20" fillId="0" borderId="0" xfId="0" applyFont="1" applyAlignment="1"/>
    <xf numFmtId="0" fontId="21" fillId="0" borderId="0" xfId="0" applyFont="1"/>
    <xf numFmtId="0" fontId="20" fillId="0" borderId="0" xfId="0" applyFont="1" applyAlignment="1">
      <alignment horizontal="right"/>
    </xf>
    <xf numFmtId="0" fontId="20" fillId="2" borderId="1" xfId="0" applyFont="1" applyFill="1" applyBorder="1"/>
    <xf numFmtId="0" fontId="19" fillId="3" borderId="2" xfId="0" applyFont="1" applyFill="1" applyBorder="1"/>
    <xf numFmtId="0" fontId="20" fillId="0" borderId="0" xfId="0" applyFont="1" applyAlignment="1">
      <alignment horizontal="left"/>
    </xf>
    <xf numFmtId="0" fontId="19" fillId="0" borderId="0" xfId="0" applyFont="1" applyAlignment="1"/>
    <xf numFmtId="0" fontId="20" fillId="10" borderId="0" xfId="0" applyFont="1" applyFill="1" applyAlignment="1">
      <alignment horizontal="left"/>
    </xf>
    <xf numFmtId="0" fontId="20" fillId="10" borderId="0" xfId="0" applyFont="1" applyFill="1" applyAlignment="1"/>
    <xf numFmtId="10" fontId="20" fillId="10" borderId="0" xfId="0" applyNumberFormat="1" applyFont="1" applyFill="1"/>
    <xf numFmtId="9" fontId="20" fillId="11" borderId="0" xfId="2" applyFont="1" applyFill="1" applyAlignment="1">
      <alignment horizontal="left"/>
    </xf>
    <xf numFmtId="44" fontId="20" fillId="11" borderId="0" xfId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0" fontId="20" fillId="0" borderId="0" xfId="0" applyNumberFormat="1" applyFont="1" applyFill="1"/>
    <xf numFmtId="9" fontId="20" fillId="10" borderId="0" xfId="2" applyFont="1" applyFill="1" applyAlignment="1">
      <alignment horizontal="left"/>
    </xf>
    <xf numFmtId="9" fontId="20" fillId="10" borderId="0" xfId="2" applyFont="1" applyFill="1" applyAlignment="1"/>
    <xf numFmtId="9" fontId="20" fillId="10" borderId="0" xfId="2" applyFont="1" applyFill="1"/>
    <xf numFmtId="44" fontId="20" fillId="0" borderId="0" xfId="0" applyNumberFormat="1" applyFont="1" applyFill="1" applyAlignment="1">
      <alignment horizontal="left"/>
    </xf>
    <xf numFmtId="6" fontId="19" fillId="0" borderId="0" xfId="0" applyNumberFormat="1" applyFont="1" applyAlignment="1">
      <alignment horizontal="right"/>
    </xf>
    <xf numFmtId="6" fontId="20" fillId="0" borderId="0" xfId="0" applyNumberFormat="1" applyFont="1" applyAlignment="1">
      <alignment horizontal="right"/>
    </xf>
    <xf numFmtId="6" fontId="20" fillId="2" borderId="1" xfId="0" applyNumberFormat="1" applyFont="1" applyFill="1" applyBorder="1" applyAlignment="1">
      <alignment horizontal="right"/>
    </xf>
    <xf numFmtId="9" fontId="20" fillId="2" borderId="1" xfId="0" applyNumberFormat="1" applyFont="1" applyFill="1" applyBorder="1" applyAlignment="1">
      <alignment horizontal="right"/>
    </xf>
    <xf numFmtId="6" fontId="20" fillId="3" borderId="2" xfId="0" applyNumberFormat="1" applyFont="1" applyFill="1" applyBorder="1" applyAlignment="1">
      <alignment horizontal="right"/>
    </xf>
    <xf numFmtId="0" fontId="18" fillId="0" borderId="0" xfId="0" applyFont="1" applyAlignment="1"/>
    <xf numFmtId="10" fontId="20" fillId="0" borderId="0" xfId="0" applyNumberFormat="1" applyFont="1"/>
    <xf numFmtId="6" fontId="20" fillId="0" borderId="14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164" fontId="20" fillId="0" borderId="0" xfId="0" applyNumberFormat="1" applyFont="1"/>
    <xf numFmtId="6" fontId="20" fillId="3" borderId="14" xfId="0" applyNumberFormat="1" applyFont="1" applyFill="1" applyBorder="1" applyAlignment="1">
      <alignment horizontal="right"/>
    </xf>
    <xf numFmtId="44" fontId="20" fillId="3" borderId="2" xfId="0" applyNumberFormat="1" applyFont="1" applyFill="1" applyBorder="1" applyAlignment="1">
      <alignment horizontal="right"/>
    </xf>
    <xf numFmtId="165" fontId="20" fillId="3" borderId="2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20" fillId="2" borderId="1" xfId="0" applyFont="1" applyFill="1" applyBorder="1" applyAlignment="1">
      <alignment horizontal="right"/>
    </xf>
    <xf numFmtId="1" fontId="20" fillId="3" borderId="2" xfId="0" applyNumberFormat="1" applyFont="1" applyFill="1" applyBorder="1"/>
    <xf numFmtId="169" fontId="20" fillId="3" borderId="14" xfId="1" applyNumberFormat="1" applyFont="1" applyFill="1" applyBorder="1"/>
    <xf numFmtId="1" fontId="20" fillId="3" borderId="14" xfId="0" applyNumberFormat="1" applyFont="1" applyFill="1" applyBorder="1"/>
    <xf numFmtId="169" fontId="20" fillId="3" borderId="2" xfId="1" applyNumberFormat="1" applyFont="1" applyFill="1" applyBorder="1"/>
    <xf numFmtId="168" fontId="20" fillId="3" borderId="2" xfId="3" applyNumberFormat="1" applyFont="1" applyFill="1" applyBorder="1"/>
    <xf numFmtId="164" fontId="20" fillId="3" borderId="2" xfId="0" applyNumberFormat="1" applyFont="1" applyFill="1" applyBorder="1" applyAlignment="1">
      <alignment horizontal="right"/>
    </xf>
    <xf numFmtId="164" fontId="20" fillId="3" borderId="2" xfId="1" applyNumberFormat="1" applyFont="1" applyFill="1" applyBorder="1" applyAlignment="1">
      <alignment horizontal="right"/>
    </xf>
    <xf numFmtId="166" fontId="18" fillId="0" borderId="0" xfId="0" applyNumberFormat="1" applyFont="1"/>
    <xf numFmtId="164" fontId="18" fillId="3" borderId="2" xfId="0" applyNumberFormat="1" applyFont="1" applyFill="1" applyBorder="1" applyAlignment="1">
      <alignment horizontal="right"/>
    </xf>
    <xf numFmtId="9" fontId="18" fillId="3" borderId="2" xfId="0" applyNumberFormat="1" applyFont="1" applyFill="1" applyBorder="1"/>
    <xf numFmtId="166" fontId="20" fillId="3" borderId="2" xfId="0" applyNumberFormat="1" applyFont="1" applyFill="1" applyBorder="1" applyAlignment="1">
      <alignment horizontal="right"/>
    </xf>
    <xf numFmtId="0" fontId="19" fillId="0" borderId="14" xfId="0" applyFont="1" applyBorder="1" applyAlignment="1">
      <alignment vertical="center"/>
    </xf>
    <xf numFmtId="0" fontId="20" fillId="0" borderId="14" xfId="0" applyFont="1" applyBorder="1" applyAlignment="1">
      <alignment wrapText="1"/>
    </xf>
    <xf numFmtId="0" fontId="20" fillId="0" borderId="14" xfId="0" applyFont="1" applyBorder="1"/>
    <xf numFmtId="0" fontId="20" fillId="0" borderId="14" xfId="0" applyFont="1" applyBorder="1" applyAlignment="1"/>
    <xf numFmtId="8" fontId="20" fillId="8" borderId="14" xfId="0" applyNumberFormat="1" applyFont="1" applyFill="1" applyBorder="1" applyAlignment="1">
      <alignment horizontal="right" wrapText="1"/>
    </xf>
    <xf numFmtId="8" fontId="20" fillId="9" borderId="14" xfId="0" applyNumberFormat="1" applyFont="1" applyFill="1" applyBorder="1" applyAlignment="1">
      <alignment horizontal="right" wrapText="1"/>
    </xf>
    <xf numFmtId="9" fontId="20" fillId="12" borderId="0" xfId="0" applyNumberFormat="1" applyFont="1" applyFill="1" applyAlignment="1">
      <alignment horizontal="right"/>
    </xf>
    <xf numFmtId="8" fontId="20" fillId="13" borderId="20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Font="1" applyAlignment="1"/>
    <xf numFmtId="0" fontId="4" fillId="2" borderId="4" xfId="0" applyFont="1" applyFill="1" applyBorder="1" applyAlignment="1">
      <alignment horizontal="left"/>
    </xf>
    <xf numFmtId="0" fontId="7" fillId="0" borderId="5" xfId="0" applyFont="1" applyBorder="1"/>
    <xf numFmtId="0" fontId="12" fillId="2" borderId="10" xfId="0" applyFont="1" applyFill="1" applyBorder="1" applyAlignment="1">
      <alignment horizontal="left" wrapText="1"/>
    </xf>
    <xf numFmtId="0" fontId="7" fillId="0" borderId="11" xfId="0" applyFont="1" applyBorder="1"/>
    <xf numFmtId="0" fontId="5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/>
    <xf numFmtId="0" fontId="18" fillId="0" borderId="14" xfId="0" applyFont="1" applyBorder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7" fillId="0" borderId="7" xfId="0" applyFont="1" applyBorder="1"/>
    <xf numFmtId="0" fontId="13" fillId="4" borderId="10" xfId="0" applyFont="1" applyFill="1" applyBorder="1" applyAlignment="1">
      <alignment wrapText="1"/>
    </xf>
    <xf numFmtId="0" fontId="7" fillId="0" borderId="14" xfId="0" applyFont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becca Frimmer" id="{5C4D21F7-3298-4819-8B03-4D0622C43FFB}" userId="a3a356ab36daa7e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" dT="2019-04-23T22:21:58.76" personId="{5C4D21F7-3298-4819-8B03-4D0622C43FFB}" id="{70E35ED4-D446-4545-8549-FB7242F7765C}">
    <text>3 cuttings</text>
  </threadedComment>
  <threadedComment ref="B45" dT="2019-04-23T16:58:26.57" personId="{5C4D21F7-3298-4819-8B03-4D0622C43FFB}" id="{9A1ED889-87CD-49A4-B8F7-790F7D75ABEA}">
    <text>packing bags</text>
  </threadedComment>
  <threadedComment ref="B72" dT="2019-04-23T22:01:19.34" personId="{5C4D21F7-3298-4819-8B03-4D0622C43FFB}" id="{EDE71650-D655-42FD-B6DE-CA062BE262E7}">
    <text>spinning</text>
  </threadedComment>
  <threadedComment ref="B73" dT="2019-04-23T22:01:25.59" personId="{5C4D21F7-3298-4819-8B03-4D0622C43FFB}" id="{B91EF5C5-BD11-4164-8BA8-BE935A6275E3}">
    <text>bagging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24" workbookViewId="0">
      <selection activeCell="B85" sqref="B85"/>
    </sheetView>
  </sheetViews>
  <sheetFormatPr baseColWidth="10" defaultColWidth="14.5" defaultRowHeight="15" customHeight="1"/>
  <cols>
    <col min="1" max="1" width="31.83203125" customWidth="1"/>
    <col min="2" max="2" width="20" customWidth="1"/>
    <col min="3" max="3" width="21" customWidth="1"/>
    <col min="4" max="7" width="8.6640625" customWidth="1"/>
  </cols>
  <sheetData>
    <row r="1" spans="1:9">
      <c r="A1" s="1" t="s">
        <v>0</v>
      </c>
      <c r="B1" s="2"/>
    </row>
    <row r="2" spans="1:9">
      <c r="A2" s="3" t="s">
        <v>1</v>
      </c>
      <c r="B2" s="2"/>
    </row>
    <row r="3" spans="1:9">
      <c r="B3" s="2"/>
    </row>
    <row r="4" spans="1:9">
      <c r="A4" s="4" t="s">
        <v>2</v>
      </c>
      <c r="B4" s="2"/>
    </row>
    <row r="5" spans="1:9">
      <c r="A5" s="5" t="s">
        <v>3</v>
      </c>
      <c r="B5" s="2"/>
      <c r="F5" s="156" t="s">
        <v>5</v>
      </c>
      <c r="G5" s="157"/>
      <c r="H5" s="157"/>
      <c r="I5" s="157"/>
    </row>
    <row r="6" spans="1:9">
      <c r="A6" s="1"/>
      <c r="B6" s="6"/>
      <c r="C6" s="6"/>
      <c r="F6" s="157"/>
      <c r="G6" s="157"/>
      <c r="H6" s="157"/>
      <c r="I6" s="157"/>
    </row>
    <row r="7" spans="1:9">
      <c r="A7" s="8" t="s">
        <v>6</v>
      </c>
      <c r="B7" s="7"/>
      <c r="C7" s="7"/>
    </row>
    <row r="8" spans="1:9">
      <c r="A8" s="1"/>
      <c r="B8" s="7"/>
      <c r="C8" s="7"/>
    </row>
    <row r="9" spans="1:9">
      <c r="A9" s="1" t="s">
        <v>8</v>
      </c>
      <c r="B9" s="158"/>
      <c r="C9" s="159"/>
    </row>
    <row r="10" spans="1:9">
      <c r="A10" s="1" t="s">
        <v>9</v>
      </c>
      <c r="B10" s="158"/>
      <c r="C10" s="159"/>
    </row>
    <row r="11" spans="1:9">
      <c r="A11" s="1" t="s">
        <v>10</v>
      </c>
      <c r="B11" s="9"/>
    </row>
    <row r="12" spans="1:9">
      <c r="A12" s="1" t="s">
        <v>11</v>
      </c>
      <c r="B12" s="9"/>
    </row>
    <row r="13" spans="1:9">
      <c r="B13" s="2"/>
    </row>
    <row r="14" spans="1:9">
      <c r="A14" s="8" t="s">
        <v>12</v>
      </c>
      <c r="B14" s="10"/>
      <c r="C14" s="1"/>
    </row>
    <row r="15" spans="1:9">
      <c r="A15" s="8" t="s">
        <v>13</v>
      </c>
      <c r="B15" s="10"/>
      <c r="C15" s="1"/>
    </row>
    <row r="16" spans="1:9">
      <c r="A16" s="8" t="s">
        <v>14</v>
      </c>
      <c r="B16" s="10"/>
      <c r="C16" s="1"/>
    </row>
    <row r="17" spans="1:25">
      <c r="A17" s="11" t="s">
        <v>15</v>
      </c>
      <c r="B17" s="10"/>
      <c r="C17" s="1"/>
    </row>
    <row r="18" spans="1:25">
      <c r="A18" s="1"/>
      <c r="B18" s="10"/>
      <c r="C18" s="1"/>
    </row>
    <row r="19" spans="1:25">
      <c r="A19" s="1" t="s">
        <v>16</v>
      </c>
      <c r="B19" s="12"/>
      <c r="C19" s="13">
        <f>B10</f>
        <v>0</v>
      </c>
    </row>
    <row r="20" spans="1:25">
      <c r="A20" s="1" t="s">
        <v>17</v>
      </c>
      <c r="B20" s="14"/>
      <c r="C20" s="13">
        <f>B10</f>
        <v>0</v>
      </c>
      <c r="D20" s="15" t="s">
        <v>18</v>
      </c>
    </row>
    <row r="21" spans="1:25" ht="15.75" customHeight="1">
      <c r="A21" t="s">
        <v>19</v>
      </c>
      <c r="B21" s="16">
        <f>B19*B20</f>
        <v>0</v>
      </c>
    </row>
    <row r="22" spans="1:25" ht="15.75" customHeight="1">
      <c r="A22" s="1" t="s">
        <v>20</v>
      </c>
      <c r="B22" s="17"/>
    </row>
    <row r="23" spans="1:25" ht="15.75" customHeight="1">
      <c r="B23" s="18"/>
    </row>
    <row r="24" spans="1:25" ht="15.75" customHeight="1">
      <c r="A24" s="8" t="s">
        <v>21</v>
      </c>
      <c r="B24" s="18"/>
      <c r="C24" s="1"/>
      <c r="D24" s="19"/>
      <c r="E24" s="20"/>
    </row>
    <row r="25" spans="1:25" ht="15.75" customHeight="1">
      <c r="A25" s="1"/>
      <c r="B25" s="18"/>
      <c r="C25" s="1"/>
      <c r="D25" s="19"/>
      <c r="E25" s="15" t="s">
        <v>22</v>
      </c>
    </row>
    <row r="26" spans="1:25" ht="15.75" customHeight="1">
      <c r="A26" s="1" t="s">
        <v>23</v>
      </c>
      <c r="B26" s="21">
        <f>B21</f>
        <v>0</v>
      </c>
      <c r="C26" s="1" t="s">
        <v>25</v>
      </c>
      <c r="D26" s="4"/>
      <c r="E26" s="20">
        <f t="shared" ref="E26:E28" si="0">D26*B26</f>
        <v>0</v>
      </c>
    </row>
    <row r="27" spans="1:25" ht="15.75" customHeight="1">
      <c r="A27" s="1" t="s">
        <v>26</v>
      </c>
      <c r="B27" s="21">
        <f>B21-B28</f>
        <v>0</v>
      </c>
      <c r="C27" s="1" t="s">
        <v>25</v>
      </c>
      <c r="D27" s="13">
        <f>D26</f>
        <v>0</v>
      </c>
      <c r="E27" s="20">
        <f t="shared" si="0"/>
        <v>0</v>
      </c>
    </row>
    <row r="28" spans="1:25" ht="15.75" customHeight="1">
      <c r="A28" s="1" t="s">
        <v>27</v>
      </c>
      <c r="B28" s="21">
        <f>B21*B22</f>
        <v>0</v>
      </c>
      <c r="C28" s="1" t="s">
        <v>25</v>
      </c>
      <c r="D28" s="13">
        <f>D26</f>
        <v>0</v>
      </c>
      <c r="E28" s="20">
        <f t="shared" si="0"/>
        <v>0</v>
      </c>
    </row>
    <row r="29" spans="1:25" ht="15.75" customHeight="1">
      <c r="B29" s="18"/>
    </row>
    <row r="30" spans="1:25" ht="15.75" customHeight="1">
      <c r="A30" s="8" t="s">
        <v>28</v>
      </c>
      <c r="B30" s="2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.75" customHeight="1">
      <c r="A31" s="1"/>
      <c r="B31" s="23"/>
    </row>
    <row r="32" spans="1:25" ht="15.75" customHeight="1">
      <c r="A32" s="1" t="s">
        <v>29</v>
      </c>
      <c r="B32" s="24"/>
    </row>
    <row r="33" spans="1:6" ht="15.75" customHeight="1">
      <c r="A33" s="1" t="s">
        <v>30</v>
      </c>
      <c r="B33" s="17">
        <v>0.15</v>
      </c>
    </row>
    <row r="34" spans="1:6" ht="15.75" customHeight="1">
      <c r="A34" s="1" t="s">
        <v>31</v>
      </c>
      <c r="B34" s="21">
        <f>B32+(B32*B33)</f>
        <v>0</v>
      </c>
    </row>
    <row r="35" spans="1:6" ht="15.75" customHeight="1">
      <c r="B35" s="2"/>
    </row>
    <row r="36" spans="1:6" ht="15.75" customHeight="1">
      <c r="A36" s="8" t="s">
        <v>32</v>
      </c>
      <c r="B36" s="2"/>
      <c r="C36" s="1"/>
    </row>
    <row r="37" spans="1:6" ht="28.5" customHeight="1">
      <c r="A37" s="162" t="s">
        <v>33</v>
      </c>
      <c r="B37" s="157"/>
      <c r="C37" s="157"/>
      <c r="D37" s="157"/>
      <c r="E37" s="157"/>
      <c r="F37" s="157"/>
    </row>
    <row r="38" spans="1:6" ht="15.75" customHeight="1">
      <c r="A38" s="32" t="s">
        <v>54</v>
      </c>
      <c r="B38" s="23"/>
      <c r="C38" s="1"/>
      <c r="D38" s="1"/>
      <c r="E38" s="20"/>
    </row>
    <row r="39" spans="1:6" ht="15.75" customHeight="1">
      <c r="A39" s="2"/>
      <c r="B39" s="23"/>
      <c r="C39" s="1"/>
      <c r="D39" s="1"/>
      <c r="E39" s="20"/>
    </row>
    <row r="40" spans="1:6" ht="15.75" customHeight="1">
      <c r="A40" s="2" t="s">
        <v>55</v>
      </c>
      <c r="B40" s="24"/>
      <c r="C40" s="1"/>
      <c r="D40" s="1"/>
      <c r="E40" s="20"/>
    </row>
    <row r="41" spans="1:6" ht="15.75" customHeight="1">
      <c r="A41" s="2" t="s">
        <v>56</v>
      </c>
      <c r="B41" s="24"/>
      <c r="C41" s="1"/>
      <c r="E41" s="20"/>
    </row>
    <row r="42" spans="1:6" ht="15.75" customHeight="1">
      <c r="A42" s="2" t="s">
        <v>57</v>
      </c>
      <c r="B42" s="24"/>
      <c r="C42" s="1" t="s">
        <v>58</v>
      </c>
      <c r="E42" s="20"/>
    </row>
    <row r="43" spans="1:6" ht="15.75" customHeight="1">
      <c r="A43" s="2" t="s">
        <v>59</v>
      </c>
      <c r="B43" s="24"/>
      <c r="C43" s="1"/>
    </row>
    <row r="44" spans="1:6" ht="15.75" customHeight="1">
      <c r="A44" s="2" t="s">
        <v>60</v>
      </c>
      <c r="B44" s="21">
        <f>SUM(B40:B43)</f>
        <v>0</v>
      </c>
      <c r="E44" s="18"/>
    </row>
    <row r="45" spans="1:6" ht="15.75" customHeight="1">
      <c r="A45" s="2"/>
      <c r="B45" s="18"/>
    </row>
    <row r="46" spans="1:6" ht="15.75" customHeight="1">
      <c r="A46" s="32" t="s">
        <v>61</v>
      </c>
      <c r="B46" s="18"/>
      <c r="E46" s="33"/>
    </row>
    <row r="47" spans="1:6" ht="15.75" customHeight="1">
      <c r="A47" s="2" t="s">
        <v>62</v>
      </c>
      <c r="B47" s="21">
        <f>B27-B44</f>
        <v>0</v>
      </c>
      <c r="E47" s="33"/>
    </row>
    <row r="48" spans="1:6" ht="15.75" customHeight="1">
      <c r="A48" s="2" t="s">
        <v>63</v>
      </c>
      <c r="B48" s="34" t="e">
        <f>B47/B34</f>
        <v>#DIV/0!</v>
      </c>
      <c r="C48" s="15" t="s">
        <v>64</v>
      </c>
    </row>
    <row r="49" spans="1:6" ht="15.75" customHeight="1">
      <c r="B49" s="2"/>
    </row>
    <row r="50" spans="1:6" ht="15.75" customHeight="1">
      <c r="A50" s="8" t="s">
        <v>65</v>
      </c>
      <c r="B50" s="2"/>
    </row>
    <row r="51" spans="1:6" ht="15.75" customHeight="1">
      <c r="A51" s="162" t="s">
        <v>66</v>
      </c>
      <c r="B51" s="157"/>
      <c r="C51" s="157"/>
      <c r="D51" s="157"/>
      <c r="E51" s="157"/>
      <c r="F51" s="157"/>
    </row>
    <row r="52" spans="1:6" ht="15.75" customHeight="1">
      <c r="A52" s="8" t="s">
        <v>67</v>
      </c>
      <c r="B52" s="35"/>
      <c r="C52" s="36"/>
    </row>
    <row r="53" spans="1:6" ht="15.75" customHeight="1">
      <c r="A53" s="27"/>
      <c r="B53" s="35"/>
      <c r="C53" s="36"/>
    </row>
    <row r="54" spans="1:6" ht="15.75" customHeight="1">
      <c r="A54" s="27" t="s">
        <v>68</v>
      </c>
      <c r="B54" s="35" t="s">
        <v>69</v>
      </c>
      <c r="C54" s="37" t="s">
        <v>70</v>
      </c>
      <c r="D54" s="27" t="s">
        <v>71</v>
      </c>
    </row>
    <row r="55" spans="1:6" ht="15.75" customHeight="1">
      <c r="A55" s="1" t="s">
        <v>72</v>
      </c>
      <c r="B55" s="9"/>
      <c r="C55" s="4"/>
    </row>
    <row r="56" spans="1:6" ht="15.75" customHeight="1">
      <c r="A56" s="1" t="s">
        <v>73</v>
      </c>
      <c r="B56" s="9"/>
      <c r="C56" s="4"/>
    </row>
    <row r="57" spans="1:6" ht="15.75" customHeight="1">
      <c r="A57" s="1" t="s">
        <v>74</v>
      </c>
      <c r="B57" s="9"/>
      <c r="C57" s="4"/>
    </row>
    <row r="58" spans="1:6" ht="15.75" customHeight="1">
      <c r="A58" s="1" t="s">
        <v>75</v>
      </c>
      <c r="B58" s="9"/>
      <c r="C58" s="4"/>
    </row>
    <row r="59" spans="1:6" ht="15.75" customHeight="1">
      <c r="A59" s="1" t="s">
        <v>76</v>
      </c>
      <c r="B59" s="9"/>
      <c r="C59" s="4"/>
    </row>
    <row r="60" spans="1:6" ht="15.75" customHeight="1">
      <c r="A60" s="1" t="s">
        <v>77</v>
      </c>
      <c r="B60" s="9"/>
      <c r="C60" s="4"/>
    </row>
    <row r="61" spans="1:6" ht="15.75" customHeight="1">
      <c r="A61" s="1" t="s">
        <v>78</v>
      </c>
      <c r="B61" s="9"/>
      <c r="C61" s="4"/>
    </row>
    <row r="62" spans="1:6" ht="15.75" customHeight="1">
      <c r="A62" s="1" t="s">
        <v>79</v>
      </c>
      <c r="B62" s="9"/>
      <c r="C62" s="4"/>
    </row>
    <row r="63" spans="1:6" ht="15.75" customHeight="1">
      <c r="A63" s="1" t="s">
        <v>80</v>
      </c>
      <c r="B63" s="9"/>
      <c r="C63" s="4"/>
    </row>
    <row r="64" spans="1:6" ht="15.75" customHeight="1">
      <c r="A64" s="1" t="s">
        <v>81</v>
      </c>
      <c r="B64" s="9"/>
      <c r="C64" s="4"/>
    </row>
    <row r="65" spans="1:26" ht="15.75" customHeight="1">
      <c r="A65" s="1" t="s">
        <v>82</v>
      </c>
      <c r="B65" s="9"/>
      <c r="C65" s="4"/>
    </row>
    <row r="66" spans="1:26" ht="15.75" customHeight="1">
      <c r="A66" s="1" t="s">
        <v>83</v>
      </c>
      <c r="B66" s="9"/>
      <c r="C66" s="4"/>
    </row>
    <row r="67" spans="1:26" ht="15.75" customHeight="1">
      <c r="A67" s="1" t="s">
        <v>84</v>
      </c>
      <c r="B67" s="9"/>
      <c r="C67" s="4"/>
    </row>
    <row r="68" spans="1:26" ht="15.75" customHeight="1">
      <c r="A68" s="1" t="s">
        <v>85</v>
      </c>
      <c r="B68" s="9"/>
      <c r="C68" s="4"/>
    </row>
    <row r="69" spans="1:26" ht="15.75" customHeight="1">
      <c r="A69" s="1" t="s">
        <v>86</v>
      </c>
      <c r="B69" s="9"/>
      <c r="C69" s="4"/>
    </row>
    <row r="70" spans="1:26" ht="15.75" customHeight="1">
      <c r="A70" s="1" t="s">
        <v>86</v>
      </c>
      <c r="B70" s="38"/>
      <c r="C70" s="39"/>
    </row>
    <row r="71" spans="1:26" ht="15.75" customHeight="1">
      <c r="A71" s="1" t="s">
        <v>86</v>
      </c>
      <c r="B71" s="40"/>
      <c r="C71" s="40"/>
    </row>
    <row r="72" spans="1:26" ht="15.75" customHeight="1">
      <c r="A72" s="1" t="s">
        <v>86</v>
      </c>
      <c r="B72" s="40"/>
      <c r="C72" s="40"/>
    </row>
    <row r="73" spans="1:26" ht="15.75" customHeight="1">
      <c r="A73" s="1" t="s">
        <v>87</v>
      </c>
      <c r="B73" s="13">
        <f>SUM(B55:B72)</f>
        <v>0</v>
      </c>
      <c r="C73" s="13">
        <f>(C55*B55)+(C56*B56)+(C57*B57)+(C58*B58)+(B59*C59)+(C60*B60)+(C61*B61)+(C62*B62)+(C63*B63)+(C64*B64)+(C65*B65)+(C66*B66)+(C67*B67)+(B68*C68)+(B69*C69)+(C70*B70)+(B71*C71)+(B72*C72)</f>
        <v>0</v>
      </c>
      <c r="D73" s="15"/>
    </row>
    <row r="74" spans="1:26" ht="15.75" customHeight="1">
      <c r="A74" s="1" t="s">
        <v>88</v>
      </c>
      <c r="B74" s="2"/>
      <c r="C74" s="41">
        <f>C73/60</f>
        <v>0</v>
      </c>
    </row>
    <row r="75" spans="1:26" ht="15.75" customHeight="1">
      <c r="A75" s="1" t="str">
        <f>A48</f>
        <v>Labor Budget in Hours, per bed</v>
      </c>
      <c r="B75" s="2"/>
      <c r="C75" s="41" t="e">
        <f>B48</f>
        <v>#DIV/0!</v>
      </c>
      <c r="D75" s="15" t="s">
        <v>89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B76" s="2"/>
    </row>
    <row r="77" spans="1:26" ht="15.75" customHeight="1">
      <c r="A77" s="8" t="s">
        <v>90</v>
      </c>
      <c r="B77" s="2"/>
    </row>
    <row r="78" spans="1:26" ht="15.75" customHeight="1">
      <c r="A78" s="8" t="s">
        <v>91</v>
      </c>
      <c r="B78" s="2"/>
    </row>
    <row r="79" spans="1:26" ht="45.75" customHeight="1">
      <c r="A79" s="42" t="s">
        <v>92</v>
      </c>
      <c r="B79" s="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>
      <c r="B80" s="2"/>
    </row>
    <row r="81" spans="1:26" ht="15.75" customHeight="1">
      <c r="A81" s="25" t="s">
        <v>93</v>
      </c>
      <c r="B81" s="2"/>
    </row>
    <row r="82" spans="1:26" ht="15.75" customHeight="1">
      <c r="A82" s="1" t="s">
        <v>94</v>
      </c>
      <c r="B82" s="9"/>
    </row>
    <row r="83" spans="1:26" ht="15.75" customHeight="1">
      <c r="A83" s="1" t="s">
        <v>95</v>
      </c>
      <c r="B83" s="43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>
      <c r="A84" s="1" t="s">
        <v>96</v>
      </c>
      <c r="B84" s="44">
        <f>(B83*B82)*B19</f>
        <v>0</v>
      </c>
      <c r="C84" s="13">
        <f>C19</f>
        <v>0</v>
      </c>
      <c r="D84" t="s">
        <v>97</v>
      </c>
    </row>
    <row r="85" spans="1:26" ht="15.75" customHeight="1">
      <c r="A85" s="1" t="s">
        <v>98</v>
      </c>
      <c r="B85" s="45">
        <f>B21*(B82*B83)</f>
        <v>0</v>
      </c>
      <c r="C85" s="46" t="s">
        <v>99</v>
      </c>
    </row>
    <row r="86" spans="1:26" ht="15.75" customHeight="1">
      <c r="A86" s="1" t="s">
        <v>34</v>
      </c>
      <c r="B86" s="47">
        <f>B44*(B82*B83)</f>
        <v>0</v>
      </c>
      <c r="C86" s="48" t="e">
        <f>B86/(B86+B87)</f>
        <v>#DIV/0!</v>
      </c>
      <c r="G86" s="1"/>
    </row>
    <row r="87" spans="1:26" ht="15.75" customHeight="1">
      <c r="A87" s="1" t="s">
        <v>100</v>
      </c>
      <c r="B87" s="49">
        <f>C74*B34*(B82*B83)</f>
        <v>0</v>
      </c>
      <c r="C87" s="48" t="e">
        <f>B87/(B87+B86)</f>
        <v>#DIV/0!</v>
      </c>
      <c r="G87" s="1"/>
    </row>
    <row r="88" spans="1:26" ht="15.75" customHeight="1">
      <c r="A88" s="26" t="s">
        <v>35</v>
      </c>
      <c r="B88" s="50">
        <f>B85-(B86+B87)</f>
        <v>0</v>
      </c>
      <c r="G88" s="1"/>
    </row>
    <row r="89" spans="1:26" ht="15.75" customHeight="1">
      <c r="A89" s="27" t="s">
        <v>101</v>
      </c>
      <c r="B89" s="51" t="e">
        <f>B88/B85</f>
        <v>#DIV/0!</v>
      </c>
      <c r="C89" s="52" t="s">
        <v>102</v>
      </c>
      <c r="D89" s="51">
        <f>B22</f>
        <v>0</v>
      </c>
      <c r="G89" s="1"/>
    </row>
    <row r="90" spans="1:26" ht="15.75" customHeight="1">
      <c r="A90" s="27" t="s">
        <v>103</v>
      </c>
      <c r="B90" s="53" t="e">
        <f>(B86+B87)/B84</f>
        <v>#DIV/0!</v>
      </c>
      <c r="G90" s="1"/>
    </row>
    <row r="91" spans="1:26" ht="15.75" customHeight="1">
      <c r="A91" s="1"/>
      <c r="B91" s="2"/>
      <c r="G91" s="1"/>
    </row>
    <row r="92" spans="1:26" ht="15.75" customHeight="1">
      <c r="A92" s="8" t="s">
        <v>104</v>
      </c>
      <c r="B92" s="2"/>
    </row>
    <row r="93" spans="1:26" ht="15.75" customHeight="1">
      <c r="A93" s="8" t="s">
        <v>105</v>
      </c>
      <c r="B93" s="2"/>
    </row>
    <row r="94" spans="1:26" ht="15.75" customHeight="1">
      <c r="A94" s="8" t="s">
        <v>106</v>
      </c>
      <c r="B94" s="2"/>
    </row>
    <row r="95" spans="1:26" ht="15.75" customHeight="1">
      <c r="A95" s="8" t="s">
        <v>47</v>
      </c>
      <c r="B95" s="2"/>
    </row>
    <row r="96" spans="1:26" ht="15.75" customHeight="1">
      <c r="A96" s="8" t="s">
        <v>48</v>
      </c>
      <c r="B96" s="28"/>
      <c r="C96" s="28"/>
      <c r="G96" s="1"/>
    </row>
    <row r="97" spans="1:7" ht="15.75" customHeight="1">
      <c r="A97" s="8" t="s">
        <v>49</v>
      </c>
      <c r="B97" s="28"/>
      <c r="C97" s="28"/>
      <c r="G97" s="1"/>
    </row>
    <row r="98" spans="1:7" ht="15.75" customHeight="1">
      <c r="A98" s="25"/>
      <c r="B98" s="28"/>
      <c r="C98" s="28"/>
      <c r="G98" s="1"/>
    </row>
    <row r="99" spans="1:7" ht="15.75" customHeight="1">
      <c r="A99" s="25" t="s">
        <v>107</v>
      </c>
      <c r="B99" s="160"/>
      <c r="C99" s="161"/>
      <c r="G99" s="1"/>
    </row>
    <row r="100" spans="1:7" ht="15.75" customHeight="1">
      <c r="A100" s="1" t="s">
        <v>108</v>
      </c>
      <c r="B100" s="29"/>
      <c r="C100" s="54"/>
      <c r="G100" s="1"/>
    </row>
    <row r="101" spans="1:7" ht="15.75" customHeight="1">
      <c r="A101" s="1" t="s">
        <v>108</v>
      </c>
      <c r="B101" s="29"/>
      <c r="C101" s="55"/>
      <c r="G101" s="1"/>
    </row>
    <row r="102" spans="1:7" ht="15.75" customHeight="1">
      <c r="A102" s="26" t="s">
        <v>35</v>
      </c>
      <c r="B102" s="56">
        <f>B85-(B86+B87+B100+B101)</f>
        <v>0</v>
      </c>
      <c r="G102" s="1"/>
    </row>
    <row r="103" spans="1:7" ht="15.75" customHeight="1">
      <c r="A103" s="27" t="s">
        <v>101</v>
      </c>
      <c r="B103" s="51" t="e">
        <f>B102/B85</f>
        <v>#DIV/0!</v>
      </c>
      <c r="G103" s="1"/>
    </row>
    <row r="104" spans="1:7" ht="15.75" customHeight="1">
      <c r="A104" s="25" t="s">
        <v>103</v>
      </c>
      <c r="B104" s="58" t="e">
        <f>(B85-B102)/B84</f>
        <v>#DIV/0!</v>
      </c>
      <c r="G104" s="1"/>
    </row>
    <row r="105" spans="1:7" ht="15.75" customHeight="1">
      <c r="B105" s="2"/>
      <c r="G105" s="1"/>
    </row>
    <row r="106" spans="1:7" ht="15.75" customHeight="1">
      <c r="B106" s="2"/>
      <c r="G106" s="1"/>
    </row>
    <row r="107" spans="1:7" ht="15.75" customHeight="1">
      <c r="A107" s="30" t="s">
        <v>15</v>
      </c>
      <c r="B107" s="2"/>
      <c r="G107" s="1"/>
    </row>
    <row r="108" spans="1:7" ht="15.75" customHeight="1">
      <c r="B108" s="2"/>
    </row>
    <row r="109" spans="1:7" ht="15.75" customHeight="1"/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F5:I6"/>
    <mergeCell ref="B9:C9"/>
    <mergeCell ref="B10:C10"/>
    <mergeCell ref="B99:C99"/>
    <mergeCell ref="A37:F37"/>
    <mergeCell ref="A51:F5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995"/>
  <sheetViews>
    <sheetView topLeftCell="A4" workbookViewId="0">
      <pane ySplit="10" topLeftCell="A14" activePane="bottomLeft" state="frozen"/>
      <selection activeCell="A4" sqref="A4"/>
      <selection pane="bottomLeft" activeCell="D98" sqref="D98"/>
    </sheetView>
  </sheetViews>
  <sheetFormatPr baseColWidth="10" defaultColWidth="14.5" defaultRowHeight="15" customHeight="1"/>
  <cols>
    <col min="1" max="1" width="46.1640625" style="103" customWidth="1"/>
    <col min="2" max="31" width="15.83203125" style="103" customWidth="1"/>
    <col min="32" max="16384" width="14.5" style="103"/>
  </cols>
  <sheetData>
    <row r="1" spans="1:21">
      <c r="A1" s="97" t="s">
        <v>201</v>
      </c>
      <c r="B1" s="102"/>
    </row>
    <row r="2" spans="1:21">
      <c r="A2" s="104" t="s">
        <v>202</v>
      </c>
      <c r="B2" s="105"/>
    </row>
    <row r="3" spans="1:21">
      <c r="B3" s="105"/>
    </row>
    <row r="4" spans="1:21">
      <c r="A4" s="106" t="s">
        <v>2</v>
      </c>
      <c r="B4" s="105"/>
    </row>
    <row r="5" spans="1:21">
      <c r="A5" s="107" t="s">
        <v>3</v>
      </c>
      <c r="B5" s="105"/>
    </row>
    <row r="6" spans="1:21">
      <c r="A6" s="95"/>
      <c r="B6" s="108"/>
      <c r="C6" s="108"/>
    </row>
    <row r="7" spans="1:21">
      <c r="A7" s="109" t="s">
        <v>4</v>
      </c>
      <c r="B7" s="108"/>
      <c r="C7" s="108"/>
    </row>
    <row r="8" spans="1:21">
      <c r="A8" s="109" t="s">
        <v>204</v>
      </c>
      <c r="B8" s="108"/>
      <c r="C8" s="108"/>
    </row>
    <row r="9" spans="1:21">
      <c r="A9" s="109" t="s">
        <v>203</v>
      </c>
      <c r="B9" s="108"/>
      <c r="C9" s="108"/>
    </row>
    <row r="10" spans="1:21">
      <c r="A10" s="109" t="s">
        <v>7</v>
      </c>
      <c r="B10" s="108"/>
      <c r="C10" s="108"/>
    </row>
    <row r="11" spans="1:21">
      <c r="A11" s="109"/>
      <c r="B11" s="108"/>
      <c r="C11" s="108"/>
    </row>
    <row r="12" spans="1:21">
      <c r="A12" s="96" t="s">
        <v>215</v>
      </c>
      <c r="B12" s="108"/>
      <c r="C12" s="108"/>
    </row>
    <row r="13" spans="1:21">
      <c r="A13" s="109"/>
      <c r="B13" s="108" t="s">
        <v>205</v>
      </c>
      <c r="C13" s="108" t="s">
        <v>46</v>
      </c>
      <c r="D13" s="108" t="s">
        <v>36</v>
      </c>
      <c r="E13" s="108" t="s">
        <v>37</v>
      </c>
      <c r="F13" s="108" t="s">
        <v>38</v>
      </c>
      <c r="G13" s="108" t="s">
        <v>39</v>
      </c>
      <c r="H13" s="108" t="s">
        <v>40</v>
      </c>
      <c r="I13" s="108" t="s">
        <v>41</v>
      </c>
      <c r="J13" s="108" t="s">
        <v>42</v>
      </c>
      <c r="K13" s="108" t="s">
        <v>43</v>
      </c>
      <c r="L13" s="108" t="s">
        <v>44</v>
      </c>
      <c r="M13" s="108" t="s">
        <v>45</v>
      </c>
      <c r="N13" s="108" t="s">
        <v>220</v>
      </c>
      <c r="O13" s="108" t="s">
        <v>221</v>
      </c>
      <c r="P13" s="108" t="s">
        <v>222</v>
      </c>
      <c r="Q13" s="108" t="s">
        <v>223</v>
      </c>
      <c r="R13" s="108" t="s">
        <v>224</v>
      </c>
      <c r="S13" s="108" t="s">
        <v>225</v>
      </c>
      <c r="T13" s="108" t="s">
        <v>226</v>
      </c>
      <c r="U13" s="108" t="s">
        <v>227</v>
      </c>
    </row>
    <row r="14" spans="1:21">
      <c r="A14" s="99" t="s">
        <v>206</v>
      </c>
      <c r="B14" s="110" t="s">
        <v>136</v>
      </c>
      <c r="C14" s="110" t="s">
        <v>109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</row>
    <row r="15" spans="1:21" s="94" customFormat="1">
      <c r="A15" s="100" t="s">
        <v>24</v>
      </c>
      <c r="B15" s="110" t="s">
        <v>234</v>
      </c>
      <c r="C15" s="110" t="s">
        <v>235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1" s="94" customFormat="1">
      <c r="A16" s="99" t="s">
        <v>207</v>
      </c>
      <c r="B16" s="110">
        <f>2*100</f>
        <v>200</v>
      </c>
      <c r="C16" s="110">
        <v>200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s="94" customFormat="1">
      <c r="A17" s="99" t="s">
        <v>208</v>
      </c>
      <c r="B17" s="110">
        <v>7</v>
      </c>
      <c r="C17" s="110">
        <v>6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11"/>
      <c r="S17" s="111"/>
      <c r="T17" s="111"/>
      <c r="U17" s="111"/>
    </row>
    <row r="18" spans="1:21" s="94" customFormat="1">
      <c r="A18" s="99" t="s">
        <v>211</v>
      </c>
      <c r="B18" s="110">
        <v>7</v>
      </c>
      <c r="C18" s="110">
        <v>8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111"/>
      <c r="S18" s="111"/>
      <c r="T18" s="111"/>
      <c r="U18" s="111"/>
    </row>
    <row r="19" spans="1:21" s="94" customFormat="1">
      <c r="A19" s="94" t="s">
        <v>209</v>
      </c>
      <c r="B19" s="113">
        <f>B17*B18/52</f>
        <v>0.94230769230769229</v>
      </c>
      <c r="C19" s="113">
        <f t="shared" ref="C19:U19" si="0">C17*C18/52</f>
        <v>0.92307692307692313</v>
      </c>
      <c r="D19" s="113">
        <f t="shared" si="0"/>
        <v>0</v>
      </c>
      <c r="E19" s="113">
        <f t="shared" si="0"/>
        <v>0</v>
      </c>
      <c r="F19" s="113">
        <f t="shared" si="0"/>
        <v>0</v>
      </c>
      <c r="G19" s="113">
        <f t="shared" si="0"/>
        <v>0</v>
      </c>
      <c r="H19" s="113">
        <f t="shared" si="0"/>
        <v>0</v>
      </c>
      <c r="I19" s="113">
        <f t="shared" si="0"/>
        <v>0</v>
      </c>
      <c r="J19" s="113">
        <f t="shared" si="0"/>
        <v>0</v>
      </c>
      <c r="K19" s="113">
        <f t="shared" si="0"/>
        <v>0</v>
      </c>
      <c r="L19" s="113">
        <f t="shared" si="0"/>
        <v>0</v>
      </c>
      <c r="M19" s="113">
        <f t="shared" si="0"/>
        <v>0</v>
      </c>
      <c r="N19" s="113">
        <f t="shared" si="0"/>
        <v>0</v>
      </c>
      <c r="O19" s="113">
        <f t="shared" si="0"/>
        <v>0</v>
      </c>
      <c r="P19" s="113">
        <f t="shared" si="0"/>
        <v>0</v>
      </c>
      <c r="Q19" s="113">
        <f t="shared" si="0"/>
        <v>0</v>
      </c>
      <c r="R19" s="113">
        <f t="shared" si="0"/>
        <v>0</v>
      </c>
      <c r="S19" s="113">
        <f t="shared" si="0"/>
        <v>0</v>
      </c>
      <c r="T19" s="113">
        <f t="shared" si="0"/>
        <v>0</v>
      </c>
      <c r="U19" s="113">
        <f t="shared" si="0"/>
        <v>0</v>
      </c>
    </row>
    <row r="20" spans="1:21" s="94" customFormat="1">
      <c r="A20" s="95" t="s">
        <v>210</v>
      </c>
      <c r="B20" s="110" t="s">
        <v>128</v>
      </c>
      <c r="C20" s="110" t="s">
        <v>236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111"/>
      <c r="S20" s="111"/>
      <c r="T20" s="111"/>
      <c r="U20" s="111"/>
    </row>
    <row r="21" spans="1:21" s="94" customFormat="1">
      <c r="A21" s="95" t="s">
        <v>212</v>
      </c>
      <c r="B21" s="110">
        <v>300</v>
      </c>
      <c r="C21" s="110">
        <v>400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11"/>
      <c r="S21" s="111"/>
      <c r="T21" s="111"/>
      <c r="U21" s="111"/>
    </row>
    <row r="22" spans="1:21" s="94" customFormat="1">
      <c r="A22" s="95" t="s">
        <v>17</v>
      </c>
      <c r="B22" s="110">
        <v>7</v>
      </c>
      <c r="C22" s="110">
        <v>2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11"/>
      <c r="S22" s="111"/>
      <c r="T22" s="111"/>
      <c r="U22" s="111"/>
    </row>
    <row r="23" spans="1:21" s="94" customFormat="1">
      <c r="A23" s="95" t="s">
        <v>213</v>
      </c>
      <c r="B23" s="114">
        <f>B22*B21</f>
        <v>2100</v>
      </c>
      <c r="C23" s="114">
        <f>C22*C21</f>
        <v>800</v>
      </c>
      <c r="D23" s="114">
        <f t="shared" ref="D23:U23" si="1">D22*D21</f>
        <v>0</v>
      </c>
      <c r="E23" s="114">
        <f t="shared" si="1"/>
        <v>0</v>
      </c>
      <c r="F23" s="114">
        <f t="shared" si="1"/>
        <v>0</v>
      </c>
      <c r="G23" s="114">
        <f t="shared" si="1"/>
        <v>0</v>
      </c>
      <c r="H23" s="114">
        <f t="shared" si="1"/>
        <v>0</v>
      </c>
      <c r="I23" s="114">
        <f t="shared" si="1"/>
        <v>0</v>
      </c>
      <c r="J23" s="114">
        <f t="shared" si="1"/>
        <v>0</v>
      </c>
      <c r="K23" s="114">
        <f t="shared" si="1"/>
        <v>0</v>
      </c>
      <c r="L23" s="114">
        <f t="shared" si="1"/>
        <v>0</v>
      </c>
      <c r="M23" s="114">
        <f t="shared" si="1"/>
        <v>0</v>
      </c>
      <c r="N23" s="114">
        <f t="shared" si="1"/>
        <v>0</v>
      </c>
      <c r="O23" s="114">
        <f t="shared" si="1"/>
        <v>0</v>
      </c>
      <c r="P23" s="114">
        <f t="shared" si="1"/>
        <v>0</v>
      </c>
      <c r="Q23" s="114">
        <f t="shared" si="1"/>
        <v>0</v>
      </c>
      <c r="R23" s="114">
        <f t="shared" si="1"/>
        <v>0</v>
      </c>
      <c r="S23" s="114">
        <f t="shared" si="1"/>
        <v>0</v>
      </c>
      <c r="T23" s="114">
        <f t="shared" si="1"/>
        <v>0</v>
      </c>
      <c r="U23" s="114">
        <f t="shared" si="1"/>
        <v>0</v>
      </c>
    </row>
    <row r="24" spans="1:21" s="94" customFormat="1">
      <c r="A24" s="94" t="s">
        <v>214</v>
      </c>
      <c r="B24" s="114">
        <f>B23*B18</f>
        <v>14700</v>
      </c>
      <c r="C24" s="114">
        <f t="shared" ref="C24:U24" si="2">C23*C18</f>
        <v>6400</v>
      </c>
      <c r="D24" s="114">
        <f t="shared" si="2"/>
        <v>0</v>
      </c>
      <c r="E24" s="114">
        <f t="shared" si="2"/>
        <v>0</v>
      </c>
      <c r="F24" s="114">
        <f t="shared" si="2"/>
        <v>0</v>
      </c>
      <c r="G24" s="114">
        <f t="shared" si="2"/>
        <v>0</v>
      </c>
      <c r="H24" s="114">
        <f t="shared" si="2"/>
        <v>0</v>
      </c>
      <c r="I24" s="114">
        <f t="shared" si="2"/>
        <v>0</v>
      </c>
      <c r="J24" s="114">
        <f t="shared" si="2"/>
        <v>0</v>
      </c>
      <c r="K24" s="114">
        <f t="shared" si="2"/>
        <v>0</v>
      </c>
      <c r="L24" s="114">
        <f t="shared" si="2"/>
        <v>0</v>
      </c>
      <c r="M24" s="114">
        <f t="shared" si="2"/>
        <v>0</v>
      </c>
      <c r="N24" s="114">
        <f t="shared" si="2"/>
        <v>0</v>
      </c>
      <c r="O24" s="114">
        <f t="shared" si="2"/>
        <v>0</v>
      </c>
      <c r="P24" s="114">
        <f t="shared" si="2"/>
        <v>0</v>
      </c>
      <c r="Q24" s="114">
        <f t="shared" si="2"/>
        <v>0</v>
      </c>
      <c r="R24" s="114">
        <f t="shared" si="2"/>
        <v>0</v>
      </c>
      <c r="S24" s="114">
        <f t="shared" si="2"/>
        <v>0</v>
      </c>
      <c r="T24" s="114">
        <f t="shared" si="2"/>
        <v>0</v>
      </c>
      <c r="U24" s="114">
        <f t="shared" si="2"/>
        <v>0</v>
      </c>
    </row>
    <row r="25" spans="1:21" s="94" customFormat="1">
      <c r="B25" s="115"/>
      <c r="C25" s="115"/>
      <c r="Q25" s="116"/>
    </row>
    <row r="26" spans="1:21" s="94" customFormat="1">
      <c r="A26" s="93" t="s">
        <v>228</v>
      </c>
      <c r="B26" s="115"/>
      <c r="C26" s="115"/>
      <c r="Q26" s="116"/>
    </row>
    <row r="27" spans="1:21" s="94" customFormat="1">
      <c r="A27" s="95" t="s">
        <v>20</v>
      </c>
      <c r="B27" s="117">
        <v>0.5</v>
      </c>
      <c r="C27" s="117">
        <v>0.4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/>
      <c r="R27" s="118"/>
      <c r="S27" s="118"/>
      <c r="T27" s="118"/>
      <c r="U27" s="118"/>
    </row>
    <row r="28" spans="1:21" s="94" customFormat="1">
      <c r="A28" s="95" t="s">
        <v>23</v>
      </c>
      <c r="B28" s="120">
        <f>B23</f>
        <v>2100</v>
      </c>
      <c r="C28" s="120">
        <f t="shared" ref="C28:U28" si="3">C23</f>
        <v>800</v>
      </c>
      <c r="D28" s="120">
        <f t="shared" si="3"/>
        <v>0</v>
      </c>
      <c r="E28" s="120">
        <f t="shared" si="3"/>
        <v>0</v>
      </c>
      <c r="F28" s="120">
        <f t="shared" si="3"/>
        <v>0</v>
      </c>
      <c r="G28" s="120">
        <f t="shared" si="3"/>
        <v>0</v>
      </c>
      <c r="H28" s="120">
        <f t="shared" si="3"/>
        <v>0</v>
      </c>
      <c r="I28" s="120">
        <f t="shared" si="3"/>
        <v>0</v>
      </c>
      <c r="J28" s="120">
        <f t="shared" si="3"/>
        <v>0</v>
      </c>
      <c r="K28" s="120">
        <f t="shared" si="3"/>
        <v>0</v>
      </c>
      <c r="L28" s="120">
        <f t="shared" si="3"/>
        <v>0</v>
      </c>
      <c r="M28" s="120">
        <f t="shared" si="3"/>
        <v>0</v>
      </c>
      <c r="N28" s="120">
        <f t="shared" si="3"/>
        <v>0</v>
      </c>
      <c r="O28" s="120">
        <f t="shared" si="3"/>
        <v>0</v>
      </c>
      <c r="P28" s="120">
        <f t="shared" si="3"/>
        <v>0</v>
      </c>
      <c r="Q28" s="120">
        <f t="shared" si="3"/>
        <v>0</v>
      </c>
      <c r="R28" s="120">
        <f t="shared" si="3"/>
        <v>0</v>
      </c>
      <c r="S28" s="120">
        <f t="shared" si="3"/>
        <v>0</v>
      </c>
      <c r="T28" s="120">
        <f t="shared" si="3"/>
        <v>0</v>
      </c>
      <c r="U28" s="120">
        <f t="shared" si="3"/>
        <v>0</v>
      </c>
    </row>
    <row r="29" spans="1:21" s="94" customFormat="1">
      <c r="A29" s="95" t="s">
        <v>26</v>
      </c>
      <c r="B29" s="120">
        <f>B28-B30</f>
        <v>1050</v>
      </c>
      <c r="C29" s="120">
        <f t="shared" ref="C29:U29" si="4">C28-C30</f>
        <v>480</v>
      </c>
      <c r="D29" s="120">
        <f t="shared" si="4"/>
        <v>0</v>
      </c>
      <c r="E29" s="120">
        <f t="shared" si="4"/>
        <v>0</v>
      </c>
      <c r="F29" s="120">
        <f t="shared" si="4"/>
        <v>0</v>
      </c>
      <c r="G29" s="120">
        <f t="shared" si="4"/>
        <v>0</v>
      </c>
      <c r="H29" s="120">
        <f t="shared" si="4"/>
        <v>0</v>
      </c>
      <c r="I29" s="120">
        <f t="shared" si="4"/>
        <v>0</v>
      </c>
      <c r="J29" s="120">
        <f t="shared" si="4"/>
        <v>0</v>
      </c>
      <c r="K29" s="120">
        <f t="shared" si="4"/>
        <v>0</v>
      </c>
      <c r="L29" s="120">
        <f t="shared" si="4"/>
        <v>0</v>
      </c>
      <c r="M29" s="120">
        <f t="shared" si="4"/>
        <v>0</v>
      </c>
      <c r="N29" s="120">
        <f t="shared" si="4"/>
        <v>0</v>
      </c>
      <c r="O29" s="120">
        <f t="shared" si="4"/>
        <v>0</v>
      </c>
      <c r="P29" s="120">
        <f t="shared" si="4"/>
        <v>0</v>
      </c>
      <c r="Q29" s="120">
        <f t="shared" si="4"/>
        <v>0</v>
      </c>
      <c r="R29" s="120">
        <f t="shared" si="4"/>
        <v>0</v>
      </c>
      <c r="S29" s="120">
        <f t="shared" si="4"/>
        <v>0</v>
      </c>
      <c r="T29" s="120">
        <f t="shared" si="4"/>
        <v>0</v>
      </c>
      <c r="U29" s="120">
        <f t="shared" si="4"/>
        <v>0</v>
      </c>
    </row>
    <row r="30" spans="1:21" s="94" customFormat="1">
      <c r="A30" s="95" t="s">
        <v>27</v>
      </c>
      <c r="B30" s="120">
        <f>B23*B27</f>
        <v>1050</v>
      </c>
      <c r="C30" s="120">
        <f t="shared" ref="C30:U30" si="5">C23*C27</f>
        <v>320</v>
      </c>
      <c r="D30" s="120">
        <f t="shared" si="5"/>
        <v>0</v>
      </c>
      <c r="E30" s="120">
        <f t="shared" si="5"/>
        <v>0</v>
      </c>
      <c r="F30" s="120">
        <f t="shared" si="5"/>
        <v>0</v>
      </c>
      <c r="G30" s="120">
        <f t="shared" si="5"/>
        <v>0</v>
      </c>
      <c r="H30" s="120">
        <f t="shared" si="5"/>
        <v>0</v>
      </c>
      <c r="I30" s="120">
        <f t="shared" si="5"/>
        <v>0</v>
      </c>
      <c r="J30" s="120">
        <f t="shared" si="5"/>
        <v>0</v>
      </c>
      <c r="K30" s="120">
        <f t="shared" si="5"/>
        <v>0</v>
      </c>
      <c r="L30" s="120">
        <f t="shared" si="5"/>
        <v>0</v>
      </c>
      <c r="M30" s="120">
        <f t="shared" si="5"/>
        <v>0</v>
      </c>
      <c r="N30" s="120">
        <f t="shared" si="5"/>
        <v>0</v>
      </c>
      <c r="O30" s="120">
        <f t="shared" si="5"/>
        <v>0</v>
      </c>
      <c r="P30" s="120">
        <f t="shared" si="5"/>
        <v>0</v>
      </c>
      <c r="Q30" s="120">
        <f t="shared" si="5"/>
        <v>0</v>
      </c>
      <c r="R30" s="120">
        <f t="shared" si="5"/>
        <v>0</v>
      </c>
      <c r="S30" s="120">
        <f t="shared" si="5"/>
        <v>0</v>
      </c>
      <c r="T30" s="120">
        <f t="shared" si="5"/>
        <v>0</v>
      </c>
      <c r="U30" s="120">
        <f t="shared" si="5"/>
        <v>0</v>
      </c>
    </row>
    <row r="31" spans="1:21" s="94" customFormat="1">
      <c r="B31" s="115"/>
      <c r="C31" s="115"/>
      <c r="Q31" s="116"/>
    </row>
    <row r="32" spans="1:21" s="94" customFormat="1">
      <c r="A32" s="96" t="s">
        <v>216</v>
      </c>
      <c r="B32" s="121"/>
      <c r="C32" s="96"/>
      <c r="Q32" s="116"/>
    </row>
    <row r="33" spans="1:21" s="94" customFormat="1">
      <c r="A33" s="95"/>
      <c r="B33" s="122"/>
      <c r="C33" s="95"/>
      <c r="Q33" s="116"/>
    </row>
    <row r="34" spans="1:21" s="94" customFormat="1">
      <c r="A34" s="95" t="s">
        <v>29</v>
      </c>
      <c r="B34" s="123">
        <v>15</v>
      </c>
      <c r="C34" s="95"/>
      <c r="Q34" s="116"/>
    </row>
    <row r="35" spans="1:21" s="94" customFormat="1">
      <c r="A35" s="95" t="s">
        <v>30</v>
      </c>
      <c r="B35" s="124">
        <v>0.15</v>
      </c>
      <c r="C35" s="95"/>
      <c r="Q35" s="116"/>
    </row>
    <row r="36" spans="1:21">
      <c r="A36" s="95" t="s">
        <v>31</v>
      </c>
      <c r="B36" s="125">
        <f>B34+(B34*B35)</f>
        <v>17.25</v>
      </c>
      <c r="C36" s="95"/>
      <c r="D36" s="126"/>
      <c r="F36" s="109"/>
      <c r="Q36" s="127"/>
    </row>
    <row r="37" spans="1:21">
      <c r="A37" s="95"/>
      <c r="B37" s="128"/>
      <c r="C37" s="95"/>
      <c r="D37" s="126"/>
      <c r="F37" s="109"/>
      <c r="Q37" s="127"/>
    </row>
    <row r="38" spans="1:21">
      <c r="A38" s="96" t="s">
        <v>217</v>
      </c>
      <c r="B38" s="105"/>
      <c r="C38" s="95"/>
      <c r="D38" s="95"/>
      <c r="E38" s="95"/>
      <c r="F38" s="109"/>
      <c r="Q38" s="127"/>
    </row>
    <row r="39" spans="1:21">
      <c r="A39" s="166" t="s">
        <v>237</v>
      </c>
      <c r="B39" s="166"/>
      <c r="C39" s="166"/>
      <c r="D39" s="166"/>
      <c r="E39" s="166"/>
      <c r="F39" s="166"/>
      <c r="G39" s="166"/>
      <c r="Q39" s="127"/>
    </row>
    <row r="40" spans="1:21">
      <c r="A40" s="129" t="s">
        <v>54</v>
      </c>
      <c r="B40" s="122"/>
      <c r="C40" s="95"/>
      <c r="D40" s="95"/>
      <c r="E40" s="130"/>
      <c r="F40" s="109"/>
      <c r="Q40" s="127"/>
    </row>
    <row r="41" spans="1:21">
      <c r="A41" s="105"/>
      <c r="B41" s="122"/>
      <c r="C41" s="95"/>
      <c r="D41" s="95"/>
      <c r="E41" s="130"/>
      <c r="F41" s="109"/>
      <c r="Q41" s="127"/>
    </row>
    <row r="42" spans="1:21">
      <c r="A42" s="105" t="s">
        <v>55</v>
      </c>
      <c r="B42" s="123">
        <v>30</v>
      </c>
      <c r="C42" s="123">
        <v>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</row>
    <row r="43" spans="1:21">
      <c r="A43" s="105" t="s">
        <v>112</v>
      </c>
      <c r="B43" s="123">
        <v>25</v>
      </c>
      <c r="C43" s="123">
        <v>5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>
      <c r="A44" s="105" t="s">
        <v>57</v>
      </c>
      <c r="B44" s="123">
        <v>0</v>
      </c>
      <c r="C44" s="123">
        <v>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>
      <c r="A45" s="105" t="s">
        <v>59</v>
      </c>
      <c r="B45" s="123">
        <v>55</v>
      </c>
      <c r="C45" s="123">
        <v>0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>
      <c r="A46" s="105" t="s">
        <v>60</v>
      </c>
      <c r="B46" s="125">
        <f>SUM(B42:B45)</f>
        <v>110</v>
      </c>
      <c r="C46" s="125">
        <f t="shared" ref="C46:U46" si="6">SUM(C42:C45)</f>
        <v>13</v>
      </c>
      <c r="D46" s="125">
        <f t="shared" si="6"/>
        <v>0</v>
      </c>
      <c r="E46" s="125">
        <f t="shared" si="6"/>
        <v>0</v>
      </c>
      <c r="F46" s="125">
        <f t="shared" si="6"/>
        <v>0</v>
      </c>
      <c r="G46" s="125">
        <f t="shared" si="6"/>
        <v>0</v>
      </c>
      <c r="H46" s="125">
        <f t="shared" si="6"/>
        <v>0</v>
      </c>
      <c r="I46" s="125">
        <f t="shared" si="6"/>
        <v>0</v>
      </c>
      <c r="J46" s="125">
        <f t="shared" si="6"/>
        <v>0</v>
      </c>
      <c r="K46" s="125">
        <f t="shared" si="6"/>
        <v>0</v>
      </c>
      <c r="L46" s="125">
        <f t="shared" si="6"/>
        <v>0</v>
      </c>
      <c r="M46" s="125">
        <f t="shared" si="6"/>
        <v>0</v>
      </c>
      <c r="N46" s="125">
        <f t="shared" si="6"/>
        <v>0</v>
      </c>
      <c r="O46" s="125">
        <f t="shared" si="6"/>
        <v>0</v>
      </c>
      <c r="P46" s="125">
        <f t="shared" si="6"/>
        <v>0</v>
      </c>
      <c r="Q46" s="125">
        <f t="shared" si="6"/>
        <v>0</v>
      </c>
      <c r="R46" s="125">
        <f t="shared" si="6"/>
        <v>0</v>
      </c>
      <c r="S46" s="125">
        <f t="shared" si="6"/>
        <v>0</v>
      </c>
      <c r="T46" s="125">
        <f t="shared" si="6"/>
        <v>0</v>
      </c>
      <c r="U46" s="125">
        <f t="shared" si="6"/>
        <v>0</v>
      </c>
    </row>
    <row r="47" spans="1:21">
      <c r="A47" s="105" t="s">
        <v>239</v>
      </c>
      <c r="B47" s="131">
        <f>B46*B18</f>
        <v>770</v>
      </c>
      <c r="C47" s="131">
        <f t="shared" ref="C47:U47" si="7">C46*C18</f>
        <v>104</v>
      </c>
      <c r="D47" s="131">
        <f t="shared" si="7"/>
        <v>0</v>
      </c>
      <c r="E47" s="131">
        <f t="shared" si="7"/>
        <v>0</v>
      </c>
      <c r="F47" s="131">
        <f t="shared" si="7"/>
        <v>0</v>
      </c>
      <c r="G47" s="131">
        <f t="shared" si="7"/>
        <v>0</v>
      </c>
      <c r="H47" s="131">
        <f t="shared" si="7"/>
        <v>0</v>
      </c>
      <c r="I47" s="131">
        <f t="shared" si="7"/>
        <v>0</v>
      </c>
      <c r="J47" s="131">
        <f t="shared" si="7"/>
        <v>0</v>
      </c>
      <c r="K47" s="131">
        <f t="shared" si="7"/>
        <v>0</v>
      </c>
      <c r="L47" s="131">
        <f t="shared" si="7"/>
        <v>0</v>
      </c>
      <c r="M47" s="131">
        <f t="shared" si="7"/>
        <v>0</v>
      </c>
      <c r="N47" s="131">
        <f t="shared" si="7"/>
        <v>0</v>
      </c>
      <c r="O47" s="131">
        <f t="shared" si="7"/>
        <v>0</v>
      </c>
      <c r="P47" s="131">
        <f t="shared" si="7"/>
        <v>0</v>
      </c>
      <c r="Q47" s="131">
        <f t="shared" si="7"/>
        <v>0</v>
      </c>
      <c r="R47" s="131">
        <f t="shared" si="7"/>
        <v>0</v>
      </c>
      <c r="S47" s="131">
        <f t="shared" si="7"/>
        <v>0</v>
      </c>
      <c r="T47" s="131">
        <f t="shared" si="7"/>
        <v>0</v>
      </c>
      <c r="U47" s="131">
        <f t="shared" si="7"/>
        <v>0</v>
      </c>
    </row>
    <row r="48" spans="1:21">
      <c r="A48" s="105"/>
      <c r="B48" s="122"/>
      <c r="C48" s="95"/>
      <c r="D48" s="95"/>
      <c r="E48" s="95"/>
      <c r="F48" s="109"/>
      <c r="Q48" s="127"/>
    </row>
    <row r="49" spans="1:21">
      <c r="A49" s="129" t="s">
        <v>61</v>
      </c>
      <c r="B49" s="122"/>
      <c r="C49" s="95"/>
      <c r="D49" s="95"/>
      <c r="E49" s="130"/>
      <c r="F49" s="109"/>
      <c r="Q49" s="127"/>
    </row>
    <row r="50" spans="1:21">
      <c r="A50" s="105" t="s">
        <v>218</v>
      </c>
      <c r="B50" s="132">
        <f>B29-B46</f>
        <v>940</v>
      </c>
      <c r="C50" s="132">
        <f t="shared" ref="C50:U50" si="8">C29-C46</f>
        <v>467</v>
      </c>
      <c r="D50" s="132">
        <f t="shared" si="8"/>
        <v>0</v>
      </c>
      <c r="E50" s="132">
        <f t="shared" si="8"/>
        <v>0</v>
      </c>
      <c r="F50" s="132">
        <f t="shared" si="8"/>
        <v>0</v>
      </c>
      <c r="G50" s="132">
        <f t="shared" si="8"/>
        <v>0</v>
      </c>
      <c r="H50" s="132">
        <f t="shared" si="8"/>
        <v>0</v>
      </c>
      <c r="I50" s="132">
        <f t="shared" si="8"/>
        <v>0</v>
      </c>
      <c r="J50" s="132">
        <f t="shared" si="8"/>
        <v>0</v>
      </c>
      <c r="K50" s="132">
        <f t="shared" si="8"/>
        <v>0</v>
      </c>
      <c r="L50" s="132">
        <f t="shared" si="8"/>
        <v>0</v>
      </c>
      <c r="M50" s="132">
        <f t="shared" si="8"/>
        <v>0</v>
      </c>
      <c r="N50" s="132">
        <f t="shared" si="8"/>
        <v>0</v>
      </c>
      <c r="O50" s="132">
        <f t="shared" si="8"/>
        <v>0</v>
      </c>
      <c r="P50" s="132">
        <f t="shared" si="8"/>
        <v>0</v>
      </c>
      <c r="Q50" s="132">
        <f t="shared" si="8"/>
        <v>0</v>
      </c>
      <c r="R50" s="132">
        <f t="shared" si="8"/>
        <v>0</v>
      </c>
      <c r="S50" s="132">
        <f t="shared" si="8"/>
        <v>0</v>
      </c>
      <c r="T50" s="132">
        <f t="shared" si="8"/>
        <v>0</v>
      </c>
      <c r="U50" s="132">
        <f t="shared" si="8"/>
        <v>0</v>
      </c>
    </row>
    <row r="51" spans="1:21">
      <c r="A51" s="105" t="s">
        <v>238</v>
      </c>
      <c r="B51" s="133">
        <f>B50/$B$36</f>
        <v>54.492753623188406</v>
      </c>
      <c r="C51" s="133">
        <f t="shared" ref="C51:U51" si="9">C50/$B$36</f>
        <v>27.072463768115941</v>
      </c>
      <c r="D51" s="133">
        <f t="shared" si="9"/>
        <v>0</v>
      </c>
      <c r="E51" s="133">
        <f t="shared" si="9"/>
        <v>0</v>
      </c>
      <c r="F51" s="133">
        <f t="shared" si="9"/>
        <v>0</v>
      </c>
      <c r="G51" s="133">
        <f t="shared" si="9"/>
        <v>0</v>
      </c>
      <c r="H51" s="133">
        <f t="shared" si="9"/>
        <v>0</v>
      </c>
      <c r="I51" s="133">
        <f t="shared" si="9"/>
        <v>0</v>
      </c>
      <c r="J51" s="133">
        <f t="shared" si="9"/>
        <v>0</v>
      </c>
      <c r="K51" s="133">
        <f t="shared" si="9"/>
        <v>0</v>
      </c>
      <c r="L51" s="133">
        <f t="shared" si="9"/>
        <v>0</v>
      </c>
      <c r="M51" s="133">
        <f t="shared" si="9"/>
        <v>0</v>
      </c>
      <c r="N51" s="133">
        <f t="shared" si="9"/>
        <v>0</v>
      </c>
      <c r="O51" s="133">
        <f t="shared" si="9"/>
        <v>0</v>
      </c>
      <c r="P51" s="133">
        <f t="shared" si="9"/>
        <v>0</v>
      </c>
      <c r="Q51" s="133">
        <f t="shared" si="9"/>
        <v>0</v>
      </c>
      <c r="R51" s="133">
        <f t="shared" si="9"/>
        <v>0</v>
      </c>
      <c r="S51" s="133">
        <f t="shared" si="9"/>
        <v>0</v>
      </c>
      <c r="T51" s="133">
        <f t="shared" si="9"/>
        <v>0</v>
      </c>
      <c r="U51" s="133">
        <f t="shared" si="9"/>
        <v>0</v>
      </c>
    </row>
    <row r="52" spans="1:21">
      <c r="A52" s="95"/>
      <c r="B52" s="105"/>
      <c r="C52" s="95"/>
      <c r="D52" s="95"/>
      <c r="E52" s="95"/>
      <c r="F52" s="109"/>
      <c r="Q52" s="127"/>
    </row>
    <row r="53" spans="1:21">
      <c r="A53" s="96" t="s">
        <v>229</v>
      </c>
      <c r="B53" s="105"/>
      <c r="C53" s="95"/>
      <c r="D53" s="95"/>
      <c r="E53" s="95"/>
      <c r="F53" s="109"/>
      <c r="Q53" s="127"/>
    </row>
    <row r="54" spans="1:21" ht="28.75" customHeight="1">
      <c r="A54" s="163" t="s">
        <v>66</v>
      </c>
      <c r="B54" s="164"/>
      <c r="C54" s="164"/>
      <c r="D54" s="164"/>
      <c r="E54" s="95"/>
      <c r="F54" s="109"/>
      <c r="Q54" s="127"/>
    </row>
    <row r="55" spans="1:21">
      <c r="A55" s="96" t="s">
        <v>67</v>
      </c>
      <c r="B55" s="134"/>
      <c r="C55" s="135"/>
      <c r="D55" s="95"/>
      <c r="E55" s="95"/>
      <c r="F55" s="109"/>
      <c r="Q55" s="127"/>
    </row>
    <row r="56" spans="1:21">
      <c r="A56" s="97"/>
      <c r="B56" s="134"/>
      <c r="C56" s="135"/>
      <c r="D56" s="95"/>
      <c r="E56" s="95"/>
      <c r="F56" s="109"/>
      <c r="Q56" s="127"/>
    </row>
    <row r="57" spans="1:21" ht="28.25" customHeight="1">
      <c r="A57" s="134" t="s">
        <v>68</v>
      </c>
      <c r="B57" s="165" t="s">
        <v>219</v>
      </c>
      <c r="C57" s="165"/>
      <c r="D57" s="165"/>
      <c r="E57" s="165"/>
      <c r="F57" s="165"/>
      <c r="Q57" s="127"/>
    </row>
    <row r="58" spans="1:21">
      <c r="A58" s="95" t="s">
        <v>72</v>
      </c>
      <c r="B58" s="136">
        <f>2*20</f>
        <v>40</v>
      </c>
      <c r="C58" s="106">
        <v>13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>
      <c r="A59" s="95" t="s">
        <v>73</v>
      </c>
      <c r="B59" s="136">
        <v>15</v>
      </c>
      <c r="C59" s="106">
        <v>60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>
      <c r="A60" s="95" t="s">
        <v>74</v>
      </c>
      <c r="B60" s="136">
        <v>0</v>
      </c>
      <c r="C60" s="106">
        <v>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21">
      <c r="A61" s="95" t="s">
        <v>75</v>
      </c>
      <c r="B61" s="136">
        <f>3*15</f>
        <v>45</v>
      </c>
      <c r="C61" s="106">
        <f>2*15</f>
        <v>30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</row>
    <row r="62" spans="1:21">
      <c r="A62" s="95" t="s">
        <v>76</v>
      </c>
      <c r="B62" s="136">
        <f>2*30</f>
        <v>60</v>
      </c>
      <c r="C62" s="106">
        <v>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</row>
    <row r="63" spans="1:21">
      <c r="A63" s="95" t="s">
        <v>77</v>
      </c>
      <c r="B63" s="136">
        <v>0</v>
      </c>
      <c r="C63" s="106">
        <v>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>
      <c r="A64" s="95" t="s">
        <v>78</v>
      </c>
      <c r="B64" s="136">
        <v>0</v>
      </c>
      <c r="C64" s="106">
        <v>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</row>
    <row r="65" spans="1:21">
      <c r="A65" s="95" t="s">
        <v>79</v>
      </c>
      <c r="B65" s="136">
        <f>3*30</f>
        <v>90</v>
      </c>
      <c r="C65" s="106">
        <f>5*5</f>
        <v>25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</row>
    <row r="66" spans="1:21">
      <c r="A66" s="95" t="s">
        <v>80</v>
      </c>
      <c r="B66" s="136">
        <v>0</v>
      </c>
      <c r="C66" s="106">
        <f>5*5</f>
        <v>25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>
      <c r="A67" s="95" t="s">
        <v>81</v>
      </c>
      <c r="B67" s="136">
        <v>0</v>
      </c>
      <c r="C67" s="106">
        <v>0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5.75" customHeight="1">
      <c r="A68" s="95" t="s">
        <v>82</v>
      </c>
      <c r="B68" s="136">
        <v>0</v>
      </c>
      <c r="C68" s="106">
        <v>3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1:21" ht="15.75" customHeight="1">
      <c r="A69" s="95" t="s">
        <v>83</v>
      </c>
      <c r="B69" s="136">
        <f>3*300</f>
        <v>900</v>
      </c>
      <c r="C69" s="106">
        <f>7*15</f>
        <v>105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</row>
    <row r="70" spans="1:21" ht="15.75" customHeight="1">
      <c r="A70" s="95" t="s">
        <v>84</v>
      </c>
      <c r="B70" s="136">
        <v>20</v>
      </c>
      <c r="C70" s="106">
        <v>3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</row>
    <row r="71" spans="1:21" ht="15.75" customHeight="1">
      <c r="A71" s="95" t="s">
        <v>85</v>
      </c>
      <c r="B71" s="136">
        <f>3*90</f>
        <v>270</v>
      </c>
      <c r="C71" s="106">
        <f>0.5*15</f>
        <v>7.5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</row>
    <row r="72" spans="1:21" ht="15.75" customHeight="1">
      <c r="A72" s="95" t="s">
        <v>86</v>
      </c>
      <c r="B72" s="136">
        <f>3*225</f>
        <v>675</v>
      </c>
      <c r="C72" s="106">
        <f>251*0.1</f>
        <v>25.1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3" spans="1:21" ht="15.75" customHeight="1">
      <c r="A73" s="95" t="s">
        <v>86</v>
      </c>
      <c r="B73" s="136">
        <f>3*135</f>
        <v>405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</row>
    <row r="74" spans="1:21" ht="15.75" customHeight="1">
      <c r="A74" s="95" t="s">
        <v>87</v>
      </c>
      <c r="B74" s="137">
        <f>SUM(B58:B73)</f>
        <v>2520</v>
      </c>
      <c r="C74" s="137">
        <f t="shared" ref="C74:U74" si="10">SUM(C58:C73)</f>
        <v>296.60000000000002</v>
      </c>
      <c r="D74" s="137">
        <f t="shared" si="10"/>
        <v>0</v>
      </c>
      <c r="E74" s="137">
        <f t="shared" si="10"/>
        <v>0</v>
      </c>
      <c r="F74" s="137">
        <f t="shared" si="10"/>
        <v>0</v>
      </c>
      <c r="G74" s="137">
        <f t="shared" si="10"/>
        <v>0</v>
      </c>
      <c r="H74" s="137">
        <f t="shared" si="10"/>
        <v>0</v>
      </c>
      <c r="I74" s="137">
        <f t="shared" si="10"/>
        <v>0</v>
      </c>
      <c r="J74" s="137">
        <f t="shared" si="10"/>
        <v>0</v>
      </c>
      <c r="K74" s="137">
        <f t="shared" si="10"/>
        <v>0</v>
      </c>
      <c r="L74" s="137">
        <f t="shared" si="10"/>
        <v>0</v>
      </c>
      <c r="M74" s="137">
        <f t="shared" si="10"/>
        <v>0</v>
      </c>
      <c r="N74" s="137">
        <f t="shared" si="10"/>
        <v>0</v>
      </c>
      <c r="O74" s="137">
        <f t="shared" si="10"/>
        <v>0</v>
      </c>
      <c r="P74" s="137">
        <f t="shared" si="10"/>
        <v>0</v>
      </c>
      <c r="Q74" s="137">
        <f t="shared" si="10"/>
        <v>0</v>
      </c>
      <c r="R74" s="137">
        <f t="shared" si="10"/>
        <v>0</v>
      </c>
      <c r="S74" s="137">
        <f t="shared" si="10"/>
        <v>0</v>
      </c>
      <c r="T74" s="137">
        <f t="shared" si="10"/>
        <v>0</v>
      </c>
      <c r="U74" s="137">
        <f t="shared" si="10"/>
        <v>0</v>
      </c>
    </row>
    <row r="75" spans="1:21">
      <c r="A75" s="95" t="s">
        <v>88</v>
      </c>
      <c r="B75" s="137">
        <f t="shared" ref="B75:U75" si="11">B74/60</f>
        <v>42</v>
      </c>
      <c r="C75" s="137">
        <f t="shared" si="11"/>
        <v>4.9433333333333334</v>
      </c>
      <c r="D75" s="137">
        <f t="shared" si="11"/>
        <v>0</v>
      </c>
      <c r="E75" s="137">
        <f t="shared" si="11"/>
        <v>0</v>
      </c>
      <c r="F75" s="137">
        <f t="shared" si="11"/>
        <v>0</v>
      </c>
      <c r="G75" s="137">
        <f t="shared" si="11"/>
        <v>0</v>
      </c>
      <c r="H75" s="137">
        <f t="shared" si="11"/>
        <v>0</v>
      </c>
      <c r="I75" s="137">
        <f t="shared" si="11"/>
        <v>0</v>
      </c>
      <c r="J75" s="137">
        <f t="shared" si="11"/>
        <v>0</v>
      </c>
      <c r="K75" s="137">
        <f t="shared" si="11"/>
        <v>0</v>
      </c>
      <c r="L75" s="137">
        <f t="shared" si="11"/>
        <v>0</v>
      </c>
      <c r="M75" s="137">
        <f t="shared" si="11"/>
        <v>0</v>
      </c>
      <c r="N75" s="137">
        <f t="shared" si="11"/>
        <v>0</v>
      </c>
      <c r="O75" s="137">
        <f t="shared" si="11"/>
        <v>0</v>
      </c>
      <c r="P75" s="137">
        <f t="shared" si="11"/>
        <v>0</v>
      </c>
      <c r="Q75" s="137">
        <f t="shared" si="11"/>
        <v>0</v>
      </c>
      <c r="R75" s="137">
        <f t="shared" si="11"/>
        <v>0</v>
      </c>
      <c r="S75" s="137">
        <f t="shared" si="11"/>
        <v>0</v>
      </c>
      <c r="T75" s="137">
        <f t="shared" si="11"/>
        <v>0</v>
      </c>
      <c r="U75" s="137">
        <f t="shared" si="11"/>
        <v>0</v>
      </c>
    </row>
    <row r="76" spans="1:21">
      <c r="A76" s="95" t="s">
        <v>240</v>
      </c>
      <c r="B76" s="138">
        <f>B75*$B$36</f>
        <v>724.5</v>
      </c>
      <c r="C76" s="138">
        <f t="shared" ref="C76:U76" si="12">C75*$B$36</f>
        <v>85.272499999999994</v>
      </c>
      <c r="D76" s="138">
        <f t="shared" si="12"/>
        <v>0</v>
      </c>
      <c r="E76" s="138">
        <f t="shared" si="12"/>
        <v>0</v>
      </c>
      <c r="F76" s="138">
        <f t="shared" si="12"/>
        <v>0</v>
      </c>
      <c r="G76" s="138">
        <f t="shared" si="12"/>
        <v>0</v>
      </c>
      <c r="H76" s="138">
        <f t="shared" si="12"/>
        <v>0</v>
      </c>
      <c r="I76" s="138">
        <f t="shared" si="12"/>
        <v>0</v>
      </c>
      <c r="J76" s="138">
        <f t="shared" si="12"/>
        <v>0</v>
      </c>
      <c r="K76" s="138">
        <f t="shared" si="12"/>
        <v>0</v>
      </c>
      <c r="L76" s="138">
        <f t="shared" si="12"/>
        <v>0</v>
      </c>
      <c r="M76" s="138">
        <f t="shared" si="12"/>
        <v>0</v>
      </c>
      <c r="N76" s="138">
        <f t="shared" si="12"/>
        <v>0</v>
      </c>
      <c r="O76" s="138">
        <f t="shared" si="12"/>
        <v>0</v>
      </c>
      <c r="P76" s="138">
        <f t="shared" si="12"/>
        <v>0</v>
      </c>
      <c r="Q76" s="138">
        <f t="shared" si="12"/>
        <v>0</v>
      </c>
      <c r="R76" s="138">
        <f t="shared" si="12"/>
        <v>0</v>
      </c>
      <c r="S76" s="138">
        <f t="shared" si="12"/>
        <v>0</v>
      </c>
      <c r="T76" s="138">
        <f t="shared" si="12"/>
        <v>0</v>
      </c>
      <c r="U76" s="138">
        <f t="shared" si="12"/>
        <v>0</v>
      </c>
    </row>
    <row r="77" spans="1:21">
      <c r="A77" s="95" t="s">
        <v>242</v>
      </c>
      <c r="B77" s="139">
        <f>B75*B18</f>
        <v>294</v>
      </c>
      <c r="C77" s="139">
        <f t="shared" ref="C77:U77" si="13">C75*C18</f>
        <v>39.546666666666667</v>
      </c>
      <c r="D77" s="139">
        <f t="shared" si="13"/>
        <v>0</v>
      </c>
      <c r="E77" s="139">
        <f t="shared" si="13"/>
        <v>0</v>
      </c>
      <c r="F77" s="139">
        <f t="shared" si="13"/>
        <v>0</v>
      </c>
      <c r="G77" s="139">
        <f t="shared" si="13"/>
        <v>0</v>
      </c>
      <c r="H77" s="139">
        <f t="shared" si="13"/>
        <v>0</v>
      </c>
      <c r="I77" s="139">
        <f t="shared" si="13"/>
        <v>0</v>
      </c>
      <c r="J77" s="139">
        <f t="shared" si="13"/>
        <v>0</v>
      </c>
      <c r="K77" s="139">
        <f t="shared" si="13"/>
        <v>0</v>
      </c>
      <c r="L77" s="139">
        <f t="shared" si="13"/>
        <v>0</v>
      </c>
      <c r="M77" s="139">
        <f t="shared" si="13"/>
        <v>0</v>
      </c>
      <c r="N77" s="139">
        <f t="shared" si="13"/>
        <v>0</v>
      </c>
      <c r="O77" s="139">
        <f t="shared" si="13"/>
        <v>0</v>
      </c>
      <c r="P77" s="139">
        <f t="shared" si="13"/>
        <v>0</v>
      </c>
      <c r="Q77" s="139">
        <f t="shared" si="13"/>
        <v>0</v>
      </c>
      <c r="R77" s="139">
        <f t="shared" si="13"/>
        <v>0</v>
      </c>
      <c r="S77" s="139">
        <f t="shared" si="13"/>
        <v>0</v>
      </c>
      <c r="T77" s="139">
        <f t="shared" si="13"/>
        <v>0</v>
      </c>
      <c r="U77" s="139">
        <f t="shared" si="13"/>
        <v>0</v>
      </c>
    </row>
    <row r="78" spans="1:21" ht="15.75" customHeight="1">
      <c r="A78" s="98" t="s">
        <v>241</v>
      </c>
      <c r="B78" s="140">
        <f>B77*$B$36</f>
        <v>5071.5</v>
      </c>
      <c r="C78" s="140">
        <f t="shared" ref="C78:U78" si="14">C77*$B$36</f>
        <v>682.18</v>
      </c>
      <c r="D78" s="140">
        <f t="shared" si="14"/>
        <v>0</v>
      </c>
      <c r="E78" s="140">
        <f t="shared" si="14"/>
        <v>0</v>
      </c>
      <c r="F78" s="140">
        <f t="shared" si="14"/>
        <v>0</v>
      </c>
      <c r="G78" s="140">
        <f t="shared" si="14"/>
        <v>0</v>
      </c>
      <c r="H78" s="140">
        <f t="shared" si="14"/>
        <v>0</v>
      </c>
      <c r="I78" s="140">
        <f t="shared" si="14"/>
        <v>0</v>
      </c>
      <c r="J78" s="140">
        <f t="shared" si="14"/>
        <v>0</v>
      </c>
      <c r="K78" s="140">
        <f t="shared" si="14"/>
        <v>0</v>
      </c>
      <c r="L78" s="140">
        <f t="shared" si="14"/>
        <v>0</v>
      </c>
      <c r="M78" s="140">
        <f t="shared" si="14"/>
        <v>0</v>
      </c>
      <c r="N78" s="140">
        <f t="shared" si="14"/>
        <v>0</v>
      </c>
      <c r="O78" s="140">
        <f t="shared" si="14"/>
        <v>0</v>
      </c>
      <c r="P78" s="140">
        <f t="shared" si="14"/>
        <v>0</v>
      </c>
      <c r="Q78" s="140">
        <f t="shared" si="14"/>
        <v>0</v>
      </c>
      <c r="R78" s="140">
        <f t="shared" si="14"/>
        <v>0</v>
      </c>
      <c r="S78" s="140">
        <f t="shared" si="14"/>
        <v>0</v>
      </c>
      <c r="T78" s="140">
        <f t="shared" si="14"/>
        <v>0</v>
      </c>
      <c r="U78" s="140">
        <f t="shared" si="14"/>
        <v>0</v>
      </c>
    </row>
    <row r="79" spans="1:21" ht="15.75" customHeight="1">
      <c r="A79" s="95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ht="15.75" customHeight="1">
      <c r="A80" s="95"/>
      <c r="B80" s="105"/>
      <c r="D80" s="95"/>
      <c r="E80" s="95"/>
      <c r="G80" s="95"/>
    </row>
    <row r="81" spans="1:21" ht="15.75" customHeight="1">
      <c r="A81" s="96" t="s">
        <v>231</v>
      </c>
      <c r="B81" s="105"/>
      <c r="D81" s="95"/>
      <c r="E81" s="95"/>
      <c r="G81" s="95"/>
    </row>
    <row r="82" spans="1:21" ht="15.75" customHeight="1">
      <c r="A82" s="96"/>
      <c r="B82" s="105"/>
      <c r="D82" s="95"/>
      <c r="E82" s="95"/>
      <c r="G82" s="95"/>
    </row>
    <row r="83" spans="1:21" ht="15.75" customHeight="1">
      <c r="A83" s="101" t="s">
        <v>230</v>
      </c>
      <c r="B83" s="105" t="str">
        <f>B13</f>
        <v>Crop 1</v>
      </c>
      <c r="E83" s="95"/>
      <c r="G83" s="95"/>
    </row>
    <row r="84" spans="1:21" ht="15.75" customHeight="1">
      <c r="A84" s="95" t="s">
        <v>96</v>
      </c>
      <c r="B84" s="141">
        <f>B21*B18</f>
        <v>2100</v>
      </c>
      <c r="C84" s="141">
        <f t="shared" ref="C84:U84" si="15">C21*C18</f>
        <v>3200</v>
      </c>
      <c r="D84" s="141">
        <f t="shared" si="15"/>
        <v>0</v>
      </c>
      <c r="E84" s="141">
        <f t="shared" si="15"/>
        <v>0</v>
      </c>
      <c r="F84" s="141">
        <f t="shared" si="15"/>
        <v>0</v>
      </c>
      <c r="G84" s="141">
        <f t="shared" si="15"/>
        <v>0</v>
      </c>
      <c r="H84" s="141">
        <f t="shared" si="15"/>
        <v>0</v>
      </c>
      <c r="I84" s="141">
        <f t="shared" si="15"/>
        <v>0</v>
      </c>
      <c r="J84" s="141">
        <f t="shared" si="15"/>
        <v>0</v>
      </c>
      <c r="K84" s="141">
        <f t="shared" si="15"/>
        <v>0</v>
      </c>
      <c r="L84" s="141">
        <f t="shared" si="15"/>
        <v>0</v>
      </c>
      <c r="M84" s="141">
        <f t="shared" si="15"/>
        <v>0</v>
      </c>
      <c r="N84" s="141">
        <f t="shared" si="15"/>
        <v>0</v>
      </c>
      <c r="O84" s="141">
        <f t="shared" si="15"/>
        <v>0</v>
      </c>
      <c r="P84" s="141">
        <f t="shared" si="15"/>
        <v>0</v>
      </c>
      <c r="Q84" s="141">
        <f t="shared" si="15"/>
        <v>0</v>
      </c>
      <c r="R84" s="141">
        <f t="shared" si="15"/>
        <v>0</v>
      </c>
      <c r="S84" s="141">
        <f t="shared" si="15"/>
        <v>0</v>
      </c>
      <c r="T84" s="141">
        <f t="shared" si="15"/>
        <v>0</v>
      </c>
      <c r="U84" s="141">
        <f t="shared" si="15"/>
        <v>0</v>
      </c>
    </row>
    <row r="85" spans="1:21" ht="15.75" customHeight="1">
      <c r="A85" s="95" t="s">
        <v>98</v>
      </c>
      <c r="B85" s="142">
        <f>B24</f>
        <v>14700</v>
      </c>
      <c r="C85" s="142">
        <f t="shared" ref="C85:U85" si="16">C24</f>
        <v>6400</v>
      </c>
      <c r="D85" s="142">
        <f t="shared" si="16"/>
        <v>0</v>
      </c>
      <c r="E85" s="142">
        <f t="shared" si="16"/>
        <v>0</v>
      </c>
      <c r="F85" s="142">
        <f t="shared" si="16"/>
        <v>0</v>
      </c>
      <c r="G85" s="142">
        <f t="shared" si="16"/>
        <v>0</v>
      </c>
      <c r="H85" s="142">
        <f t="shared" si="16"/>
        <v>0</v>
      </c>
      <c r="I85" s="142">
        <f t="shared" si="16"/>
        <v>0</v>
      </c>
      <c r="J85" s="142">
        <f t="shared" si="16"/>
        <v>0</v>
      </c>
      <c r="K85" s="142">
        <f t="shared" si="16"/>
        <v>0</v>
      </c>
      <c r="L85" s="142">
        <f t="shared" si="16"/>
        <v>0</v>
      </c>
      <c r="M85" s="142">
        <f t="shared" si="16"/>
        <v>0</v>
      </c>
      <c r="N85" s="142">
        <f t="shared" si="16"/>
        <v>0</v>
      </c>
      <c r="O85" s="142">
        <f t="shared" si="16"/>
        <v>0</v>
      </c>
      <c r="P85" s="142">
        <f t="shared" si="16"/>
        <v>0</v>
      </c>
      <c r="Q85" s="142">
        <f t="shared" si="16"/>
        <v>0</v>
      </c>
      <c r="R85" s="142">
        <f t="shared" si="16"/>
        <v>0</v>
      </c>
      <c r="S85" s="142">
        <f t="shared" si="16"/>
        <v>0</v>
      </c>
      <c r="T85" s="142">
        <f t="shared" si="16"/>
        <v>0</v>
      </c>
      <c r="U85" s="142">
        <f t="shared" si="16"/>
        <v>0</v>
      </c>
    </row>
    <row r="86" spans="1:21" ht="15.75" customHeight="1">
      <c r="A86" s="95" t="s">
        <v>34</v>
      </c>
      <c r="B86" s="125">
        <f>B47</f>
        <v>770</v>
      </c>
      <c r="C86" s="125">
        <f t="shared" ref="C86:U86" si="17">C47</f>
        <v>104</v>
      </c>
      <c r="D86" s="125">
        <f t="shared" si="17"/>
        <v>0</v>
      </c>
      <c r="E86" s="125">
        <f t="shared" si="17"/>
        <v>0</v>
      </c>
      <c r="F86" s="125">
        <f t="shared" si="17"/>
        <v>0</v>
      </c>
      <c r="G86" s="125">
        <f t="shared" si="17"/>
        <v>0</v>
      </c>
      <c r="H86" s="125">
        <f t="shared" si="17"/>
        <v>0</v>
      </c>
      <c r="I86" s="125">
        <f t="shared" si="17"/>
        <v>0</v>
      </c>
      <c r="J86" s="125">
        <f t="shared" si="17"/>
        <v>0</v>
      </c>
      <c r="K86" s="125">
        <f t="shared" si="17"/>
        <v>0</v>
      </c>
      <c r="L86" s="125">
        <f t="shared" si="17"/>
        <v>0</v>
      </c>
      <c r="M86" s="125">
        <f t="shared" si="17"/>
        <v>0</v>
      </c>
      <c r="N86" s="125">
        <f t="shared" si="17"/>
        <v>0</v>
      </c>
      <c r="O86" s="125">
        <f t="shared" si="17"/>
        <v>0</v>
      </c>
      <c r="P86" s="125">
        <f t="shared" si="17"/>
        <v>0</v>
      </c>
      <c r="Q86" s="125">
        <f t="shared" si="17"/>
        <v>0</v>
      </c>
      <c r="R86" s="125">
        <f t="shared" si="17"/>
        <v>0</v>
      </c>
      <c r="S86" s="125">
        <f t="shared" si="17"/>
        <v>0</v>
      </c>
      <c r="T86" s="125">
        <f t="shared" si="17"/>
        <v>0</v>
      </c>
      <c r="U86" s="125">
        <f t="shared" si="17"/>
        <v>0</v>
      </c>
    </row>
    <row r="87" spans="1:21" ht="15.75" customHeight="1">
      <c r="A87" s="95" t="s">
        <v>100</v>
      </c>
      <c r="B87" s="143">
        <f>B78</f>
        <v>5071.5</v>
      </c>
      <c r="C87" s="143">
        <f t="shared" ref="C87:U87" si="18">C78</f>
        <v>682.18</v>
      </c>
      <c r="D87" s="143">
        <f t="shared" si="18"/>
        <v>0</v>
      </c>
      <c r="E87" s="143">
        <f t="shared" si="18"/>
        <v>0</v>
      </c>
      <c r="F87" s="143">
        <f t="shared" si="18"/>
        <v>0</v>
      </c>
      <c r="G87" s="143">
        <f t="shared" si="18"/>
        <v>0</v>
      </c>
      <c r="H87" s="143">
        <f t="shared" si="18"/>
        <v>0</v>
      </c>
      <c r="I87" s="143">
        <f t="shared" si="18"/>
        <v>0</v>
      </c>
      <c r="J87" s="143">
        <f t="shared" si="18"/>
        <v>0</v>
      </c>
      <c r="K87" s="143">
        <f t="shared" si="18"/>
        <v>0</v>
      </c>
      <c r="L87" s="143">
        <f t="shared" si="18"/>
        <v>0</v>
      </c>
      <c r="M87" s="143">
        <f t="shared" si="18"/>
        <v>0</v>
      </c>
      <c r="N87" s="143">
        <f t="shared" si="18"/>
        <v>0</v>
      </c>
      <c r="O87" s="143">
        <f t="shared" si="18"/>
        <v>0</v>
      </c>
      <c r="P87" s="143">
        <f t="shared" si="18"/>
        <v>0</v>
      </c>
      <c r="Q87" s="143">
        <f t="shared" si="18"/>
        <v>0</v>
      </c>
      <c r="R87" s="143">
        <f t="shared" si="18"/>
        <v>0</v>
      </c>
      <c r="S87" s="143">
        <f t="shared" si="18"/>
        <v>0</v>
      </c>
      <c r="T87" s="143">
        <f t="shared" si="18"/>
        <v>0</v>
      </c>
      <c r="U87" s="143">
        <f t="shared" si="18"/>
        <v>0</v>
      </c>
    </row>
    <row r="88" spans="1:21" ht="15.75" customHeight="1">
      <c r="A88" s="144" t="s">
        <v>122</v>
      </c>
      <c r="B88" s="145">
        <f>B85-(B86+B87)</f>
        <v>8858.5</v>
      </c>
      <c r="C88" s="145">
        <f t="shared" ref="C88:U88" si="19">C85-(C86+C87)</f>
        <v>5613.82</v>
      </c>
      <c r="D88" s="145">
        <f t="shared" si="19"/>
        <v>0</v>
      </c>
      <c r="E88" s="145">
        <f t="shared" si="19"/>
        <v>0</v>
      </c>
      <c r="F88" s="145">
        <f t="shared" si="19"/>
        <v>0</v>
      </c>
      <c r="G88" s="145">
        <f t="shared" si="19"/>
        <v>0</v>
      </c>
      <c r="H88" s="145">
        <f t="shared" si="19"/>
        <v>0</v>
      </c>
      <c r="I88" s="145">
        <f t="shared" si="19"/>
        <v>0</v>
      </c>
      <c r="J88" s="145">
        <f t="shared" si="19"/>
        <v>0</v>
      </c>
      <c r="K88" s="145">
        <f t="shared" si="19"/>
        <v>0</v>
      </c>
      <c r="L88" s="145">
        <f t="shared" si="19"/>
        <v>0</v>
      </c>
      <c r="M88" s="145">
        <f t="shared" si="19"/>
        <v>0</v>
      </c>
      <c r="N88" s="145">
        <f t="shared" si="19"/>
        <v>0</v>
      </c>
      <c r="O88" s="145">
        <f t="shared" si="19"/>
        <v>0</v>
      </c>
      <c r="P88" s="145">
        <f t="shared" si="19"/>
        <v>0</v>
      </c>
      <c r="Q88" s="145">
        <f t="shared" si="19"/>
        <v>0</v>
      </c>
      <c r="R88" s="145">
        <f t="shared" si="19"/>
        <v>0</v>
      </c>
      <c r="S88" s="145">
        <f t="shared" si="19"/>
        <v>0</v>
      </c>
      <c r="T88" s="145">
        <f t="shared" si="19"/>
        <v>0</v>
      </c>
      <c r="U88" s="145">
        <f t="shared" si="19"/>
        <v>0</v>
      </c>
    </row>
    <row r="89" spans="1:21" ht="15.75" customHeight="1">
      <c r="A89" s="97" t="s">
        <v>123</v>
      </c>
      <c r="B89" s="146">
        <f>B88/B85</f>
        <v>0.60261904761904761</v>
      </c>
      <c r="C89" s="146">
        <f t="shared" ref="C89:U89" si="20">C88/C85</f>
        <v>0.87715937499999996</v>
      </c>
      <c r="D89" s="146" t="e">
        <f t="shared" si="20"/>
        <v>#DIV/0!</v>
      </c>
      <c r="E89" s="146" t="e">
        <f t="shared" si="20"/>
        <v>#DIV/0!</v>
      </c>
      <c r="F89" s="146" t="e">
        <f t="shared" si="20"/>
        <v>#DIV/0!</v>
      </c>
      <c r="G89" s="146" t="e">
        <f t="shared" si="20"/>
        <v>#DIV/0!</v>
      </c>
      <c r="H89" s="146" t="e">
        <f t="shared" si="20"/>
        <v>#DIV/0!</v>
      </c>
      <c r="I89" s="146" t="e">
        <f t="shared" si="20"/>
        <v>#DIV/0!</v>
      </c>
      <c r="J89" s="146" t="e">
        <f t="shared" si="20"/>
        <v>#DIV/0!</v>
      </c>
      <c r="K89" s="146" t="e">
        <f t="shared" si="20"/>
        <v>#DIV/0!</v>
      </c>
      <c r="L89" s="146" t="e">
        <f t="shared" si="20"/>
        <v>#DIV/0!</v>
      </c>
      <c r="M89" s="146" t="e">
        <f t="shared" si="20"/>
        <v>#DIV/0!</v>
      </c>
      <c r="N89" s="146" t="e">
        <f t="shared" si="20"/>
        <v>#DIV/0!</v>
      </c>
      <c r="O89" s="146" t="e">
        <f t="shared" si="20"/>
        <v>#DIV/0!</v>
      </c>
      <c r="P89" s="146" t="e">
        <f t="shared" si="20"/>
        <v>#DIV/0!</v>
      </c>
      <c r="Q89" s="146" t="e">
        <f t="shared" si="20"/>
        <v>#DIV/0!</v>
      </c>
      <c r="R89" s="146" t="e">
        <f t="shared" si="20"/>
        <v>#DIV/0!</v>
      </c>
      <c r="S89" s="146" t="e">
        <f t="shared" si="20"/>
        <v>#DIV/0!</v>
      </c>
      <c r="T89" s="146" t="e">
        <f t="shared" si="20"/>
        <v>#DIV/0!</v>
      </c>
      <c r="U89" s="146" t="e">
        <f t="shared" si="20"/>
        <v>#DIV/0!</v>
      </c>
    </row>
    <row r="90" spans="1:21" ht="15.75" customHeight="1">
      <c r="A90" s="97" t="s">
        <v>103</v>
      </c>
      <c r="B90" s="147">
        <f>(B86+B87)/B84</f>
        <v>2.7816666666666667</v>
      </c>
      <c r="C90" s="147">
        <f t="shared" ref="C90:U90" si="21">(C86+C87)/C84</f>
        <v>0.24568124999999999</v>
      </c>
      <c r="D90" s="147" t="e">
        <f t="shared" si="21"/>
        <v>#DIV/0!</v>
      </c>
      <c r="E90" s="147" t="e">
        <f t="shared" si="21"/>
        <v>#DIV/0!</v>
      </c>
      <c r="F90" s="147" t="e">
        <f t="shared" si="21"/>
        <v>#DIV/0!</v>
      </c>
      <c r="G90" s="147" t="e">
        <f t="shared" si="21"/>
        <v>#DIV/0!</v>
      </c>
      <c r="H90" s="147" t="e">
        <f t="shared" si="21"/>
        <v>#DIV/0!</v>
      </c>
      <c r="I90" s="147" t="e">
        <f t="shared" si="21"/>
        <v>#DIV/0!</v>
      </c>
      <c r="J90" s="147" t="e">
        <f t="shared" si="21"/>
        <v>#DIV/0!</v>
      </c>
      <c r="K90" s="147" t="e">
        <f t="shared" si="21"/>
        <v>#DIV/0!</v>
      </c>
      <c r="L90" s="147" t="e">
        <f t="shared" si="21"/>
        <v>#DIV/0!</v>
      </c>
      <c r="M90" s="147" t="e">
        <f t="shared" si="21"/>
        <v>#DIV/0!</v>
      </c>
      <c r="N90" s="147" t="e">
        <f t="shared" si="21"/>
        <v>#DIV/0!</v>
      </c>
      <c r="O90" s="147" t="e">
        <f t="shared" si="21"/>
        <v>#DIV/0!</v>
      </c>
      <c r="P90" s="147" t="e">
        <f t="shared" si="21"/>
        <v>#DIV/0!</v>
      </c>
      <c r="Q90" s="147" t="e">
        <f t="shared" si="21"/>
        <v>#DIV/0!</v>
      </c>
      <c r="R90" s="147" t="e">
        <f t="shared" si="21"/>
        <v>#DIV/0!</v>
      </c>
      <c r="S90" s="147" t="e">
        <f t="shared" si="21"/>
        <v>#DIV/0!</v>
      </c>
      <c r="T90" s="147" t="e">
        <f t="shared" si="21"/>
        <v>#DIV/0!</v>
      </c>
      <c r="U90" s="147" t="e">
        <f t="shared" si="21"/>
        <v>#DIV/0!</v>
      </c>
    </row>
    <row r="91" spans="1:21" ht="15.75" customHeight="1">
      <c r="A91" s="95" t="s">
        <v>243</v>
      </c>
      <c r="B91" s="154">
        <f>B27</f>
        <v>0.5</v>
      </c>
      <c r="C91" s="154">
        <f t="shared" ref="C91:U91" si="22">C27</f>
        <v>0.4</v>
      </c>
      <c r="D91" s="154">
        <f t="shared" si="22"/>
        <v>0</v>
      </c>
      <c r="E91" s="154">
        <f t="shared" si="22"/>
        <v>0</v>
      </c>
      <c r="F91" s="154">
        <f t="shared" si="22"/>
        <v>0</v>
      </c>
      <c r="G91" s="154">
        <f t="shared" si="22"/>
        <v>0</v>
      </c>
      <c r="H91" s="154">
        <f t="shared" si="22"/>
        <v>0</v>
      </c>
      <c r="I91" s="154">
        <f t="shared" si="22"/>
        <v>0</v>
      </c>
      <c r="J91" s="154">
        <f t="shared" si="22"/>
        <v>0</v>
      </c>
      <c r="K91" s="154">
        <f t="shared" si="22"/>
        <v>0</v>
      </c>
      <c r="L91" s="154">
        <f t="shared" si="22"/>
        <v>0</v>
      </c>
      <c r="M91" s="154">
        <f t="shared" si="22"/>
        <v>0</v>
      </c>
      <c r="N91" s="154">
        <f t="shared" si="22"/>
        <v>0</v>
      </c>
      <c r="O91" s="154">
        <f t="shared" si="22"/>
        <v>0</v>
      </c>
      <c r="P91" s="154">
        <f t="shared" si="22"/>
        <v>0</v>
      </c>
      <c r="Q91" s="154">
        <f t="shared" si="22"/>
        <v>0</v>
      </c>
      <c r="R91" s="154">
        <f t="shared" si="22"/>
        <v>0</v>
      </c>
      <c r="S91" s="154">
        <f t="shared" si="22"/>
        <v>0</v>
      </c>
      <c r="T91" s="154">
        <f t="shared" si="22"/>
        <v>0</v>
      </c>
      <c r="U91" s="154">
        <f t="shared" si="22"/>
        <v>0</v>
      </c>
    </row>
    <row r="92" spans="1:21" ht="15.75" customHeight="1">
      <c r="A92" s="95"/>
      <c r="B92" s="105"/>
      <c r="D92" s="95"/>
      <c r="E92" s="95"/>
      <c r="G92" s="95"/>
    </row>
    <row r="93" spans="1:21" ht="15.75" customHeight="1">
      <c r="A93" s="148" t="s">
        <v>232</v>
      </c>
      <c r="B93" s="149"/>
      <c r="C93" s="149"/>
      <c r="D93" s="150"/>
      <c r="E93" s="95"/>
      <c r="G93" s="95"/>
    </row>
    <row r="94" spans="1:21" ht="15.75" customHeight="1">
      <c r="A94" s="148" t="s">
        <v>233</v>
      </c>
      <c r="B94" s="149"/>
      <c r="C94" s="149"/>
      <c r="D94" s="151"/>
      <c r="G94" s="95"/>
    </row>
    <row r="95" spans="1:21" ht="15.75" customHeight="1">
      <c r="A95" s="148"/>
      <c r="B95" s="149"/>
      <c r="C95" s="149"/>
      <c r="D95" s="151"/>
      <c r="G95" s="95"/>
    </row>
    <row r="96" spans="1:21" ht="15.75" customHeight="1">
      <c r="A96" s="149" t="s">
        <v>50</v>
      </c>
      <c r="B96" s="152">
        <v>13000</v>
      </c>
    </row>
    <row r="97" spans="1:2" ht="15.75" customHeight="1">
      <c r="A97" s="149" t="s">
        <v>51</v>
      </c>
      <c r="B97" s="152">
        <v>3600</v>
      </c>
    </row>
    <row r="98" spans="1:2" ht="15.75" customHeight="1">
      <c r="A98" s="149" t="s">
        <v>52</v>
      </c>
      <c r="B98" s="153">
        <f>B96-B97</f>
        <v>9400</v>
      </c>
    </row>
    <row r="99" spans="1:2" ht="15.75" customHeight="1" thickBot="1">
      <c r="A99" s="149" t="s">
        <v>53</v>
      </c>
      <c r="B99" s="153">
        <f>SUM(B88:U88)</f>
        <v>14472.32</v>
      </c>
    </row>
    <row r="100" spans="1:2" ht="15.75" customHeight="1" thickBot="1">
      <c r="A100" s="149" t="s">
        <v>244</v>
      </c>
      <c r="B100" s="155">
        <f>B99-B98</f>
        <v>5072.32</v>
      </c>
    </row>
    <row r="101" spans="1:2" ht="15.75" customHeight="1">
      <c r="B101" s="105"/>
    </row>
    <row r="102" spans="1:2" ht="15.75" customHeight="1"/>
    <row r="103" spans="1:2" ht="15.75" customHeight="1"/>
    <row r="104" spans="1:2" ht="15.75" customHeight="1"/>
    <row r="105" spans="1:2" ht="15.75" customHeight="1"/>
    <row r="106" spans="1:2" ht="15.75" customHeight="1"/>
    <row r="107" spans="1:2" ht="15.75" customHeight="1"/>
    <row r="108" spans="1:2" ht="15.75" customHeight="1"/>
    <row r="109" spans="1:2" ht="15.75" customHeight="1"/>
    <row r="110" spans="1:2" ht="15.75" customHeight="1"/>
    <row r="111" spans="1:2" ht="15.75" customHeight="1"/>
    <row r="112" spans="1: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3">
    <mergeCell ref="A54:D54"/>
    <mergeCell ref="B57:F57"/>
    <mergeCell ref="A39:G3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32" workbookViewId="0">
      <selection activeCell="B84" sqref="B84"/>
    </sheetView>
  </sheetViews>
  <sheetFormatPr baseColWidth="10" defaultColWidth="14.5" defaultRowHeight="15" customHeight="1"/>
  <cols>
    <col min="1" max="1" width="31.83203125" customWidth="1"/>
    <col min="2" max="2" width="20" customWidth="1"/>
    <col min="3" max="3" width="21" customWidth="1"/>
    <col min="4" max="7" width="8.6640625" customWidth="1"/>
  </cols>
  <sheetData>
    <row r="1" spans="1:3">
      <c r="A1" s="1" t="s">
        <v>0</v>
      </c>
      <c r="B1" s="2"/>
    </row>
    <row r="2" spans="1:3">
      <c r="A2" s="3" t="s">
        <v>1</v>
      </c>
      <c r="B2" s="2"/>
    </row>
    <row r="3" spans="1:3">
      <c r="B3" s="2"/>
    </row>
    <row r="4" spans="1:3">
      <c r="A4" s="4" t="s">
        <v>2</v>
      </c>
      <c r="B4" s="2"/>
    </row>
    <row r="5" spans="1:3">
      <c r="A5" s="5" t="s">
        <v>3</v>
      </c>
      <c r="B5" s="2"/>
    </row>
    <row r="6" spans="1:3">
      <c r="A6" s="1"/>
      <c r="B6" s="6"/>
      <c r="C6" s="6"/>
    </row>
    <row r="7" spans="1:3">
      <c r="A7" s="8" t="s">
        <v>6</v>
      </c>
      <c r="B7" s="7"/>
      <c r="C7" s="7"/>
    </row>
    <row r="8" spans="1:3">
      <c r="A8" s="1"/>
      <c r="B8" s="7"/>
      <c r="C8" s="7"/>
    </row>
    <row r="9" spans="1:3">
      <c r="A9" s="1" t="s">
        <v>8</v>
      </c>
      <c r="B9" s="158" t="s">
        <v>136</v>
      </c>
      <c r="C9" s="159"/>
    </row>
    <row r="10" spans="1:3">
      <c r="A10" s="1" t="s">
        <v>9</v>
      </c>
      <c r="B10" s="158" t="s">
        <v>128</v>
      </c>
      <c r="C10" s="159"/>
    </row>
    <row r="11" spans="1:3">
      <c r="A11" s="1" t="s">
        <v>10</v>
      </c>
      <c r="B11" s="9">
        <v>100</v>
      </c>
    </row>
    <row r="12" spans="1:3">
      <c r="A12" s="1" t="s">
        <v>11</v>
      </c>
      <c r="B12" s="9">
        <v>6</v>
      </c>
    </row>
    <row r="13" spans="1:3">
      <c r="B13" s="2"/>
    </row>
    <row r="14" spans="1:3">
      <c r="A14" s="8" t="s">
        <v>12</v>
      </c>
      <c r="B14" s="10"/>
      <c r="C14" s="1"/>
    </row>
    <row r="15" spans="1:3">
      <c r="A15" s="8" t="s">
        <v>13</v>
      </c>
      <c r="B15" s="10"/>
      <c r="C15" s="1"/>
    </row>
    <row r="16" spans="1:3">
      <c r="A16" s="8" t="s">
        <v>14</v>
      </c>
      <c r="B16" s="10"/>
      <c r="C16" s="1"/>
    </row>
    <row r="17" spans="1:25">
      <c r="A17" s="11" t="s">
        <v>15</v>
      </c>
      <c r="B17" s="10"/>
      <c r="C17" s="1"/>
    </row>
    <row r="18" spans="1:25">
      <c r="A18" s="1"/>
      <c r="B18" s="10"/>
      <c r="C18" s="1"/>
    </row>
    <row r="19" spans="1:25">
      <c r="A19" s="1" t="s">
        <v>16</v>
      </c>
      <c r="B19" s="9">
        <v>675</v>
      </c>
      <c r="C19" s="13" t="str">
        <f>B10</f>
        <v>pounds</v>
      </c>
    </row>
    <row r="20" spans="1:25">
      <c r="A20" s="1" t="s">
        <v>17</v>
      </c>
      <c r="B20" s="14">
        <v>2</v>
      </c>
      <c r="C20" s="13" t="str">
        <f>B10</f>
        <v>pounds</v>
      </c>
    </row>
    <row r="21" spans="1:25" ht="15.75" customHeight="1">
      <c r="A21" t="s">
        <v>19</v>
      </c>
      <c r="B21" s="16">
        <f>B19*B20</f>
        <v>1350</v>
      </c>
    </row>
    <row r="22" spans="1:25" ht="15.75" customHeight="1">
      <c r="A22" s="1" t="s">
        <v>20</v>
      </c>
      <c r="B22" s="17">
        <v>0.35</v>
      </c>
    </row>
    <row r="23" spans="1:25" ht="15.75" customHeight="1">
      <c r="B23" s="18"/>
    </row>
    <row r="24" spans="1:25" ht="15.75" customHeight="1">
      <c r="A24" s="8" t="s">
        <v>21</v>
      </c>
      <c r="B24" s="18"/>
      <c r="C24" s="1"/>
      <c r="D24" s="19"/>
      <c r="E24" s="20"/>
    </row>
    <row r="25" spans="1:25" ht="15.75" customHeight="1">
      <c r="A25" s="1"/>
      <c r="B25" s="18"/>
      <c r="C25" s="1"/>
      <c r="D25" s="19"/>
      <c r="E25" s="15" t="s">
        <v>22</v>
      </c>
    </row>
    <row r="26" spans="1:25" ht="15.75" customHeight="1">
      <c r="A26" s="1" t="s">
        <v>23</v>
      </c>
      <c r="B26" s="21">
        <f>B21</f>
        <v>1350</v>
      </c>
      <c r="C26" s="1" t="s">
        <v>25</v>
      </c>
      <c r="D26" s="4">
        <v>5</v>
      </c>
      <c r="E26" s="20">
        <f t="shared" ref="E26:E28" si="0">D26*B26</f>
        <v>6750</v>
      </c>
    </row>
    <row r="27" spans="1:25" ht="15.75" customHeight="1">
      <c r="A27" s="1" t="s">
        <v>26</v>
      </c>
      <c r="B27" s="21">
        <f>B21-B28</f>
        <v>877.5</v>
      </c>
      <c r="C27" s="1" t="s">
        <v>25</v>
      </c>
      <c r="D27" s="13">
        <f>D26</f>
        <v>5</v>
      </c>
      <c r="E27" s="20">
        <f t="shared" si="0"/>
        <v>4387.5</v>
      </c>
    </row>
    <row r="28" spans="1:25" ht="15.75" customHeight="1">
      <c r="A28" s="1" t="s">
        <v>27</v>
      </c>
      <c r="B28" s="21">
        <f>B21*B22</f>
        <v>472.49999999999994</v>
      </c>
      <c r="C28" s="1" t="s">
        <v>25</v>
      </c>
      <c r="D28" s="13">
        <f>D26</f>
        <v>5</v>
      </c>
      <c r="E28" s="20">
        <f t="shared" si="0"/>
        <v>2362.4999999999995</v>
      </c>
    </row>
    <row r="29" spans="1:25" ht="15.75" customHeight="1">
      <c r="B29" s="18"/>
    </row>
    <row r="30" spans="1:25" ht="15.75" customHeight="1">
      <c r="A30" s="8" t="s">
        <v>28</v>
      </c>
      <c r="B30" s="2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.75" customHeight="1">
      <c r="A31" s="1"/>
      <c r="B31" s="23"/>
    </row>
    <row r="32" spans="1:25" ht="15.75" customHeight="1">
      <c r="A32" s="1" t="s">
        <v>29</v>
      </c>
      <c r="B32" s="24">
        <v>12</v>
      </c>
    </row>
    <row r="33" spans="1:5" ht="15.75" customHeight="1">
      <c r="A33" s="1" t="s">
        <v>30</v>
      </c>
      <c r="B33" s="17">
        <v>0.15</v>
      </c>
    </row>
    <row r="34" spans="1:5" ht="15.75" customHeight="1">
      <c r="A34" s="1" t="s">
        <v>31</v>
      </c>
      <c r="B34" s="21">
        <f>B32+(B32*B33)</f>
        <v>13.8</v>
      </c>
    </row>
    <row r="35" spans="1:5" ht="15.75" customHeight="1">
      <c r="B35" s="2"/>
    </row>
    <row r="36" spans="1:5" ht="15.75" customHeight="1">
      <c r="A36" s="8" t="s">
        <v>32</v>
      </c>
      <c r="B36" s="2"/>
      <c r="C36" s="1"/>
    </row>
    <row r="37" spans="1:5" ht="15.75" customHeight="1">
      <c r="A37" s="8" t="s">
        <v>33</v>
      </c>
      <c r="B37" s="2"/>
      <c r="C37" s="1"/>
    </row>
    <row r="38" spans="1:5" ht="15.75" customHeight="1">
      <c r="A38" s="32" t="s">
        <v>54</v>
      </c>
      <c r="B38" s="23"/>
      <c r="C38" s="1"/>
      <c r="D38" s="1"/>
      <c r="E38" s="20"/>
    </row>
    <row r="39" spans="1:5" ht="15.75" customHeight="1">
      <c r="A39" s="2"/>
      <c r="B39" s="23"/>
      <c r="C39" s="1"/>
      <c r="D39" s="1"/>
      <c r="E39" s="20"/>
    </row>
    <row r="40" spans="1:5" ht="15.75" customHeight="1">
      <c r="A40" s="2" t="s">
        <v>55</v>
      </c>
      <c r="B40" s="24">
        <v>30</v>
      </c>
      <c r="C40" s="1"/>
      <c r="D40" s="1"/>
      <c r="E40" s="20"/>
    </row>
    <row r="41" spans="1:5" ht="15.75" customHeight="1">
      <c r="A41" s="2" t="s">
        <v>56</v>
      </c>
      <c r="B41" s="24">
        <v>25</v>
      </c>
      <c r="C41" s="1"/>
      <c r="E41" s="20"/>
    </row>
    <row r="42" spans="1:5" ht="15.75" customHeight="1">
      <c r="A42" s="2" t="s">
        <v>138</v>
      </c>
      <c r="B42" s="24">
        <v>0</v>
      </c>
      <c r="C42" s="1"/>
      <c r="E42" s="20"/>
    </row>
    <row r="43" spans="1:5" ht="15.75" customHeight="1">
      <c r="A43" s="2" t="s">
        <v>139</v>
      </c>
      <c r="B43" s="24">
        <v>55</v>
      </c>
      <c r="C43" s="1"/>
    </row>
    <row r="44" spans="1:5" ht="15.75" customHeight="1">
      <c r="A44" s="2" t="s">
        <v>60</v>
      </c>
      <c r="B44" s="21">
        <f>SUM(B40:B43)</f>
        <v>110</v>
      </c>
      <c r="E44" s="18"/>
    </row>
    <row r="45" spans="1:5" ht="15.75" customHeight="1">
      <c r="A45" s="2"/>
      <c r="B45" s="18"/>
    </row>
    <row r="46" spans="1:5" ht="15.75" customHeight="1">
      <c r="A46" s="32" t="s">
        <v>61</v>
      </c>
      <c r="B46" s="18"/>
      <c r="E46" s="33"/>
    </row>
    <row r="47" spans="1:5" ht="15.75" customHeight="1">
      <c r="A47" s="2" t="s">
        <v>62</v>
      </c>
      <c r="B47" s="21">
        <f>B27-B44</f>
        <v>767.5</v>
      </c>
      <c r="E47" s="33"/>
    </row>
    <row r="48" spans="1:5" ht="15.75" customHeight="1">
      <c r="A48" s="2" t="s">
        <v>63</v>
      </c>
      <c r="B48" s="34">
        <f>B47/B34</f>
        <v>55.615942028985508</v>
      </c>
    </row>
    <row r="49" spans="1:4" ht="15.75" customHeight="1">
      <c r="B49" s="2"/>
    </row>
    <row r="50" spans="1:4" ht="15.75" customHeight="1">
      <c r="A50" s="8" t="s">
        <v>65</v>
      </c>
      <c r="B50" s="2"/>
    </row>
    <row r="51" spans="1:4" ht="15.75" customHeight="1">
      <c r="A51" s="8" t="s">
        <v>66</v>
      </c>
      <c r="B51" s="2"/>
    </row>
    <row r="52" spans="1:4" ht="15.75" customHeight="1">
      <c r="A52" s="8" t="s">
        <v>67</v>
      </c>
      <c r="B52" s="35"/>
      <c r="C52" s="36"/>
    </row>
    <row r="53" spans="1:4" ht="15.75" customHeight="1">
      <c r="A53" s="27"/>
      <c r="B53" s="35"/>
      <c r="C53" s="36"/>
    </row>
    <row r="54" spans="1:4" ht="15.75" customHeight="1">
      <c r="A54" s="27" t="s">
        <v>68</v>
      </c>
      <c r="B54" s="35" t="s">
        <v>69</v>
      </c>
      <c r="C54" s="37" t="s">
        <v>142</v>
      </c>
      <c r="D54" s="27" t="s">
        <v>71</v>
      </c>
    </row>
    <row r="55" spans="1:4" ht="15.75" customHeight="1">
      <c r="A55" s="1" t="s">
        <v>143</v>
      </c>
      <c r="B55" s="9">
        <v>1</v>
      </c>
      <c r="C55" s="4">
        <v>20</v>
      </c>
    </row>
    <row r="56" spans="1:4" ht="15.75" customHeight="1">
      <c r="A56" s="1" t="s">
        <v>144</v>
      </c>
      <c r="B56" s="9">
        <v>1</v>
      </c>
      <c r="C56" s="4">
        <v>20</v>
      </c>
    </row>
    <row r="57" spans="1:4" ht="15.75" customHeight="1">
      <c r="A57" s="1" t="s">
        <v>73</v>
      </c>
      <c r="B57" s="9">
        <v>1</v>
      </c>
      <c r="C57" s="4">
        <v>15</v>
      </c>
    </row>
    <row r="58" spans="1:4" ht="15.75" customHeight="1">
      <c r="A58" s="1" t="s">
        <v>74</v>
      </c>
      <c r="B58" s="9">
        <v>0</v>
      </c>
      <c r="C58" s="4">
        <v>0</v>
      </c>
    </row>
    <row r="59" spans="1:4" ht="15.75" customHeight="1">
      <c r="A59" s="1" t="s">
        <v>75</v>
      </c>
      <c r="B59" s="9">
        <v>3</v>
      </c>
      <c r="C59" s="4">
        <v>15</v>
      </c>
    </row>
    <row r="60" spans="1:4" ht="15.75" customHeight="1">
      <c r="A60" s="1" t="s">
        <v>76</v>
      </c>
      <c r="B60" s="9">
        <v>2</v>
      </c>
      <c r="C60" s="4">
        <v>30</v>
      </c>
    </row>
    <row r="61" spans="1:4" ht="15.75" customHeight="1">
      <c r="A61" s="1" t="s">
        <v>77</v>
      </c>
      <c r="B61" s="9">
        <v>0</v>
      </c>
      <c r="C61" s="4">
        <v>0</v>
      </c>
    </row>
    <row r="62" spans="1:4" ht="15.75" customHeight="1">
      <c r="A62" s="1" t="s">
        <v>78</v>
      </c>
      <c r="B62" s="9">
        <v>0</v>
      </c>
      <c r="C62" s="4">
        <v>0</v>
      </c>
    </row>
    <row r="63" spans="1:4" ht="15.75" customHeight="1">
      <c r="A63" s="1" t="s">
        <v>79</v>
      </c>
      <c r="B63" s="9">
        <v>3</v>
      </c>
      <c r="C63" s="4">
        <v>30</v>
      </c>
      <c r="D63" s="1" t="s">
        <v>147</v>
      </c>
    </row>
    <row r="64" spans="1:4" ht="15.75" customHeight="1">
      <c r="A64" s="1" t="s">
        <v>80</v>
      </c>
      <c r="B64" s="9">
        <v>0</v>
      </c>
      <c r="C64" s="4">
        <v>0</v>
      </c>
      <c r="D64" s="1" t="s">
        <v>148</v>
      </c>
    </row>
    <row r="65" spans="1:26" ht="15.75" customHeight="1">
      <c r="A65" s="1" t="s">
        <v>81</v>
      </c>
      <c r="B65" s="9">
        <v>0</v>
      </c>
      <c r="C65" s="4">
        <v>0</v>
      </c>
    </row>
    <row r="66" spans="1:26" ht="15.75" customHeight="1">
      <c r="A66" s="1" t="s">
        <v>82</v>
      </c>
      <c r="B66" s="9">
        <v>0</v>
      </c>
      <c r="C66" s="4">
        <v>0</v>
      </c>
      <c r="D66" s="1" t="s">
        <v>149</v>
      </c>
    </row>
    <row r="67" spans="1:26" ht="15.75" customHeight="1">
      <c r="A67" s="1" t="s">
        <v>150</v>
      </c>
      <c r="B67" s="9">
        <v>3</v>
      </c>
      <c r="C67" s="4">
        <v>300</v>
      </c>
      <c r="D67" s="1" t="s">
        <v>152</v>
      </c>
    </row>
    <row r="68" spans="1:26" ht="15.75" customHeight="1">
      <c r="A68" s="1" t="s">
        <v>84</v>
      </c>
      <c r="B68" s="9">
        <v>1</v>
      </c>
      <c r="C68" s="4">
        <v>20</v>
      </c>
    </row>
    <row r="69" spans="1:26" ht="15.75" customHeight="1">
      <c r="A69" s="1" t="s">
        <v>154</v>
      </c>
      <c r="B69" s="9">
        <v>3</v>
      </c>
      <c r="C69" s="4">
        <v>90</v>
      </c>
    </row>
    <row r="70" spans="1:26" ht="15.75" customHeight="1">
      <c r="A70" s="1" t="s">
        <v>155</v>
      </c>
      <c r="B70" s="9">
        <v>3</v>
      </c>
      <c r="C70" s="4">
        <v>225</v>
      </c>
      <c r="D70" s="1" t="s">
        <v>156</v>
      </c>
    </row>
    <row r="71" spans="1:26" ht="15.75" customHeight="1">
      <c r="A71" s="1" t="s">
        <v>157</v>
      </c>
      <c r="B71" s="9">
        <v>3</v>
      </c>
      <c r="C71" s="4">
        <v>135</v>
      </c>
      <c r="D71" s="1" t="s">
        <v>158</v>
      </c>
    </row>
    <row r="72" spans="1:26" ht="15.75" customHeight="1">
      <c r="A72" s="1" t="s">
        <v>86</v>
      </c>
      <c r="B72" s="40"/>
      <c r="C72" s="40"/>
    </row>
    <row r="73" spans="1:26" ht="15.75" customHeight="1">
      <c r="A73" s="1" t="s">
        <v>87</v>
      </c>
      <c r="B73" s="13">
        <f>SUM(B55:B72)</f>
        <v>24</v>
      </c>
      <c r="C73" s="13">
        <f>(C55*B55)+(C56*B56)+(C57*B57)+(C58*B58)+(B59*C59)+(C60*B60)+(C61*B61)+(C62*B62)+(C63*B63)+(C64*B64)+(C65*B65)+(C66*B66)+(C67*B67)+(B68*C68)+(B69*C69)+(C70*B70)+(B71*C71)+(B72*C72)</f>
        <v>2520</v>
      </c>
    </row>
    <row r="74" spans="1:26" ht="15.75" customHeight="1">
      <c r="A74" s="1" t="s">
        <v>88</v>
      </c>
      <c r="B74" s="2"/>
      <c r="C74" s="41">
        <f>C73/60</f>
        <v>42</v>
      </c>
    </row>
    <row r="75" spans="1:26" ht="15.75" customHeight="1">
      <c r="A75" s="1" t="str">
        <f>A48</f>
        <v>Labor Budget in Hours, per bed</v>
      </c>
      <c r="B75" s="2"/>
      <c r="C75" s="41">
        <f>B48</f>
        <v>55.615942028985508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B76" s="2"/>
    </row>
    <row r="77" spans="1:26" ht="15.75" customHeight="1">
      <c r="A77" s="8" t="s">
        <v>90</v>
      </c>
      <c r="B77" s="2"/>
    </row>
    <row r="78" spans="1:26" ht="15.75" customHeight="1">
      <c r="A78" s="8" t="s">
        <v>91</v>
      </c>
      <c r="B78" s="2"/>
    </row>
    <row r="79" spans="1:26" ht="15.75" customHeight="1">
      <c r="B79" s="2"/>
    </row>
    <row r="80" spans="1:26" ht="15.75" customHeight="1">
      <c r="A80" s="25" t="s">
        <v>93</v>
      </c>
      <c r="B80" s="2"/>
    </row>
    <row r="81" spans="1:26" ht="15.75" customHeight="1">
      <c r="A81" s="1" t="s">
        <v>94</v>
      </c>
      <c r="B81" s="9">
        <v>5</v>
      </c>
    </row>
    <row r="82" spans="1:26" ht="15.75" customHeight="1">
      <c r="A82" s="1" t="s">
        <v>95</v>
      </c>
      <c r="B82" s="43">
        <v>1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>
      <c r="A83" s="1" t="s">
        <v>96</v>
      </c>
      <c r="B83" s="13">
        <f>(B81*B82)*B19</f>
        <v>3375</v>
      </c>
      <c r="C83" s="13" t="str">
        <f>C19</f>
        <v>pounds</v>
      </c>
      <c r="D83" s="15" t="s">
        <v>97</v>
      </c>
    </row>
    <row r="84" spans="1:26" ht="15.75" customHeight="1">
      <c r="A84" s="1" t="s">
        <v>98</v>
      </c>
      <c r="B84" s="45">
        <f>B21*(B81*B82)</f>
        <v>6750</v>
      </c>
      <c r="C84" s="46" t="s">
        <v>99</v>
      </c>
    </row>
    <row r="85" spans="1:26" ht="15.75" customHeight="1">
      <c r="A85" s="1" t="s">
        <v>34</v>
      </c>
      <c r="B85" s="47">
        <f>B44*(B81*B82)</f>
        <v>550</v>
      </c>
      <c r="C85" s="77">
        <f>B85/(B85+B86)</f>
        <v>0.15951276102088166</v>
      </c>
      <c r="G85" s="1"/>
    </row>
    <row r="86" spans="1:26" ht="15.75" customHeight="1">
      <c r="A86" s="1" t="s">
        <v>100</v>
      </c>
      <c r="B86" s="49">
        <f>C74*B34*(B81*B82)</f>
        <v>2898</v>
      </c>
      <c r="C86" s="80">
        <f>B86/(B86+B85)</f>
        <v>0.84048723897911837</v>
      </c>
      <c r="G86" s="1"/>
    </row>
    <row r="87" spans="1:26" ht="15.75" customHeight="1">
      <c r="A87" s="26" t="s">
        <v>35</v>
      </c>
      <c r="B87" s="50">
        <f>B84-(B85+B86)</f>
        <v>3302</v>
      </c>
      <c r="G87" s="1"/>
    </row>
    <row r="88" spans="1:26" ht="15.75" customHeight="1">
      <c r="A88" s="27" t="s">
        <v>101</v>
      </c>
      <c r="B88" s="51">
        <f>B87/B84</f>
        <v>0.48918518518518517</v>
      </c>
      <c r="C88" s="52" t="s">
        <v>102</v>
      </c>
      <c r="D88" s="51">
        <f>B22</f>
        <v>0.35</v>
      </c>
      <c r="G88" s="1"/>
    </row>
    <row r="89" spans="1:26" ht="15.75" customHeight="1">
      <c r="A89" s="27" t="s">
        <v>103</v>
      </c>
      <c r="B89" s="65">
        <f>(B85+B86)/B83</f>
        <v>1.0216296296296297</v>
      </c>
      <c r="G89" s="1"/>
    </row>
    <row r="90" spans="1:26" ht="15.75" customHeight="1">
      <c r="A90" s="1"/>
      <c r="B90" s="2"/>
      <c r="G90" s="1"/>
    </row>
    <row r="91" spans="1:26" ht="15.75" customHeight="1">
      <c r="A91" s="8" t="s">
        <v>104</v>
      </c>
      <c r="B91" s="2"/>
    </row>
    <row r="92" spans="1:26" ht="15.75" customHeight="1">
      <c r="A92" s="8" t="s">
        <v>105</v>
      </c>
      <c r="B92" s="2"/>
    </row>
    <row r="93" spans="1:26" ht="15.75" customHeight="1">
      <c r="A93" s="8" t="s">
        <v>106</v>
      </c>
      <c r="B93" s="2"/>
    </row>
    <row r="94" spans="1:26" ht="15.75" customHeight="1">
      <c r="A94" s="8" t="s">
        <v>47</v>
      </c>
      <c r="B94" s="2"/>
    </row>
    <row r="95" spans="1:26" ht="15.75" customHeight="1">
      <c r="A95" s="8" t="s">
        <v>48</v>
      </c>
      <c r="B95" s="28"/>
      <c r="C95" s="28"/>
      <c r="G95" s="1"/>
    </row>
    <row r="96" spans="1:26" ht="15.75" customHeight="1">
      <c r="A96" s="8" t="s">
        <v>49</v>
      </c>
      <c r="B96" s="28"/>
      <c r="C96" s="28"/>
      <c r="G96" s="1"/>
    </row>
    <row r="97" spans="1:7" ht="15.75" customHeight="1">
      <c r="A97" s="25"/>
      <c r="B97" s="28"/>
      <c r="C97" s="28"/>
      <c r="G97" s="1"/>
    </row>
    <row r="98" spans="1:7" ht="15.75" customHeight="1">
      <c r="A98" s="25" t="s">
        <v>107</v>
      </c>
      <c r="B98" s="167" t="s">
        <v>172</v>
      </c>
      <c r="C98" s="168"/>
      <c r="G98" s="1"/>
    </row>
    <row r="99" spans="1:7" ht="15.75" customHeight="1">
      <c r="A99" s="1" t="s">
        <v>108</v>
      </c>
      <c r="B99" s="85">
        <v>500</v>
      </c>
      <c r="C99" s="86" t="s">
        <v>179</v>
      </c>
      <c r="G99" s="1"/>
    </row>
    <row r="100" spans="1:7" ht="15.75" customHeight="1">
      <c r="A100" s="1" t="s">
        <v>108</v>
      </c>
      <c r="B100" s="29"/>
      <c r="C100" s="55"/>
      <c r="G100" s="1"/>
    </row>
    <row r="101" spans="1:7" ht="15.75" customHeight="1">
      <c r="A101" s="26" t="s">
        <v>35</v>
      </c>
      <c r="B101" s="56">
        <f>B84-(B85+B86+B99+B100)</f>
        <v>2802</v>
      </c>
      <c r="G101" s="1"/>
    </row>
    <row r="102" spans="1:7" ht="15.75" customHeight="1">
      <c r="A102" s="27" t="s">
        <v>101</v>
      </c>
      <c r="B102" s="51">
        <f>B101/B84</f>
        <v>0.4151111111111111</v>
      </c>
      <c r="G102" s="1"/>
    </row>
    <row r="103" spans="1:7" ht="15.75" customHeight="1">
      <c r="A103" s="25" t="s">
        <v>103</v>
      </c>
      <c r="B103" s="58">
        <f>(B84-B101)/B83</f>
        <v>1.1697777777777778</v>
      </c>
      <c r="G103" s="1"/>
    </row>
    <row r="104" spans="1:7" ht="15.75" customHeight="1">
      <c r="B104" s="2"/>
      <c r="G104" s="1"/>
    </row>
    <row r="105" spans="1:7" ht="15.75" customHeight="1">
      <c r="B105" s="2"/>
      <c r="G105" s="1"/>
    </row>
    <row r="106" spans="1:7" ht="15.75" customHeight="1">
      <c r="A106" s="30" t="s">
        <v>15</v>
      </c>
      <c r="B106" s="2"/>
      <c r="G106" s="1"/>
    </row>
    <row r="107" spans="1:7" ht="15.75" customHeight="1">
      <c r="B107" s="2"/>
    </row>
    <row r="108" spans="1:7" ht="15.75" customHeight="1"/>
    <row r="109" spans="1:7" ht="15.75" customHeight="1"/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98:C98"/>
    <mergeCell ref="B9:C9"/>
    <mergeCell ref="B10:C10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4" workbookViewId="0">
      <selection activeCell="B55" sqref="B55:B70"/>
    </sheetView>
  </sheetViews>
  <sheetFormatPr baseColWidth="10" defaultColWidth="14.5" defaultRowHeight="15" customHeight="1"/>
  <cols>
    <col min="1" max="1" width="31.83203125" customWidth="1"/>
    <col min="2" max="2" width="20" customWidth="1"/>
    <col min="3" max="3" width="21" customWidth="1"/>
    <col min="4" max="7" width="8.6640625" customWidth="1"/>
    <col min="8" max="25" width="14.5" customWidth="1"/>
  </cols>
  <sheetData>
    <row r="1" spans="1:26">
      <c r="A1" s="1" t="s">
        <v>0</v>
      </c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>
      <c r="A2" s="3" t="s">
        <v>1</v>
      </c>
      <c r="B2" s="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15"/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>
      <c r="A4" s="4" t="s">
        <v>2</v>
      </c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>
      <c r="A5" s="5" t="s">
        <v>3</v>
      </c>
      <c r="B5" s="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"/>
      <c r="B6" s="6"/>
      <c r="C6" s="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8" t="s">
        <v>6</v>
      </c>
      <c r="B7" s="7"/>
      <c r="C7" s="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"/>
      <c r="B8" s="7"/>
      <c r="C8" s="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" t="s">
        <v>8</v>
      </c>
      <c r="B9" s="59" t="s">
        <v>109</v>
      </c>
      <c r="C9" s="6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" t="s">
        <v>9</v>
      </c>
      <c r="B10" s="59" t="s">
        <v>110</v>
      </c>
      <c r="C10" s="6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" t="s">
        <v>10</v>
      </c>
      <c r="B11" s="9">
        <v>100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" t="s">
        <v>11</v>
      </c>
      <c r="B12" s="9">
        <v>3</v>
      </c>
      <c r="C12" s="15" t="s">
        <v>111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8" t="s">
        <v>12</v>
      </c>
      <c r="B14" s="10"/>
      <c r="C14" s="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8" t="s">
        <v>13</v>
      </c>
      <c r="B15" s="10"/>
      <c r="C15" s="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8" t="s">
        <v>14</v>
      </c>
      <c r="B16" s="10"/>
      <c r="C16" s="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>
      <c r="A17" s="11" t="s">
        <v>15</v>
      </c>
      <c r="B17" s="10"/>
      <c r="C17" s="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>
      <c r="A18" s="1"/>
      <c r="B18" s="10"/>
      <c r="C18" s="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>
      <c r="A19" s="1" t="s">
        <v>16</v>
      </c>
      <c r="B19" s="9">
        <v>375</v>
      </c>
      <c r="C19" s="1" t="str">
        <f>B10</f>
        <v>head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" t="s">
        <v>17</v>
      </c>
      <c r="B20" s="14">
        <v>2</v>
      </c>
      <c r="C20" s="15" t="str">
        <f>B10</f>
        <v>head</v>
      </c>
      <c r="D20" s="15" t="s">
        <v>18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15" t="s">
        <v>19</v>
      </c>
      <c r="B21" s="16">
        <f>B19*B20</f>
        <v>750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>
      <c r="A22" s="1" t="s">
        <v>20</v>
      </c>
      <c r="B22" s="17">
        <v>0.2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15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>
      <c r="A24" s="8" t="s">
        <v>21</v>
      </c>
      <c r="B24" s="18"/>
      <c r="C24" s="1"/>
      <c r="D24" s="19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>
      <c r="A25" s="1"/>
      <c r="B25" s="18"/>
      <c r="C25" s="1"/>
      <c r="D25" s="19"/>
      <c r="E25" s="15" t="s">
        <v>22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>
      <c r="A26" s="1" t="s">
        <v>23</v>
      </c>
      <c r="B26" s="21">
        <f>B21</f>
        <v>750</v>
      </c>
      <c r="C26" s="1" t="s">
        <v>25</v>
      </c>
      <c r="D26" s="4">
        <v>5</v>
      </c>
      <c r="E26" s="20">
        <f t="shared" ref="E26:E28" si="0">D26*B26</f>
        <v>3750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1" t="s">
        <v>26</v>
      </c>
      <c r="B27" s="21">
        <f>B21-B28</f>
        <v>600</v>
      </c>
      <c r="C27" s="1" t="s">
        <v>25</v>
      </c>
      <c r="D27" s="13">
        <f>D26</f>
        <v>5</v>
      </c>
      <c r="E27" s="20">
        <f t="shared" si="0"/>
        <v>3000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>
      <c r="A28" s="1" t="s">
        <v>27</v>
      </c>
      <c r="B28" s="21">
        <f>B21*B22</f>
        <v>150</v>
      </c>
      <c r="C28" s="1" t="s">
        <v>25</v>
      </c>
      <c r="D28" s="13">
        <f>D26</f>
        <v>5</v>
      </c>
      <c r="E28" s="20">
        <f t="shared" si="0"/>
        <v>750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>
      <c r="A29" s="15"/>
      <c r="B29" s="1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8" t="s">
        <v>28</v>
      </c>
      <c r="B30" s="2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5"/>
    </row>
    <row r="31" spans="1:26" ht="15.75" customHeight="1">
      <c r="A31" s="1"/>
      <c r="B31" s="2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>
      <c r="A32" s="1" t="s">
        <v>29</v>
      </c>
      <c r="B32" s="24">
        <v>15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>
      <c r="A33" s="1" t="s">
        <v>30</v>
      </c>
      <c r="B33" s="17">
        <v>0.15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1" t="s">
        <v>31</v>
      </c>
      <c r="B34" s="21">
        <f>B32+(B32*B33)</f>
        <v>17.25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>
      <c r="A35" s="15"/>
      <c r="B35" s="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8" t="s">
        <v>32</v>
      </c>
      <c r="B36" s="2"/>
      <c r="C36" s="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33" customHeight="1">
      <c r="A37" s="162" t="s">
        <v>33</v>
      </c>
      <c r="B37" s="157"/>
      <c r="C37" s="157"/>
      <c r="D37" s="157"/>
      <c r="E37" s="157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>
      <c r="A38" s="32" t="s">
        <v>54</v>
      </c>
      <c r="B38" s="23"/>
      <c r="C38" s="1"/>
      <c r="D38" s="1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>
      <c r="A39" s="2"/>
      <c r="B39" s="23"/>
      <c r="C39" s="1"/>
      <c r="D39" s="1"/>
      <c r="E39" s="2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>
      <c r="A40" s="2" t="s">
        <v>55</v>
      </c>
      <c r="B40" s="24">
        <v>8</v>
      </c>
      <c r="C40" s="1"/>
      <c r="D40" s="1"/>
      <c r="E40" s="2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>
      <c r="A41" s="2" t="s">
        <v>112</v>
      </c>
      <c r="B41" s="24">
        <v>5</v>
      </c>
      <c r="C41" s="1"/>
      <c r="D41" s="15"/>
      <c r="E41" s="2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>
      <c r="A42" s="2" t="s">
        <v>57</v>
      </c>
      <c r="B42" s="24">
        <v>0</v>
      </c>
      <c r="C42" s="1" t="s">
        <v>58</v>
      </c>
      <c r="D42" s="15"/>
      <c r="E42" s="2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>
      <c r="A43" s="2" t="s">
        <v>59</v>
      </c>
      <c r="B43" s="24">
        <v>0</v>
      </c>
      <c r="C43" s="1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2" t="s">
        <v>60</v>
      </c>
      <c r="B44" s="21">
        <f>SUM(B40:B43)</f>
        <v>13</v>
      </c>
      <c r="C44" s="15"/>
      <c r="D44" s="15"/>
      <c r="E44" s="18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2"/>
      <c r="B45" s="1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>
      <c r="A46" s="32" t="s">
        <v>61</v>
      </c>
      <c r="B46" s="18"/>
      <c r="C46" s="15"/>
      <c r="D46" s="15"/>
      <c r="E46" s="3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>
      <c r="A47" s="2" t="s">
        <v>62</v>
      </c>
      <c r="B47" s="21">
        <f>B27-B44</f>
        <v>587</v>
      </c>
      <c r="C47" s="15"/>
      <c r="D47" s="15"/>
      <c r="E47" s="3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>
      <c r="A48" s="2" t="s">
        <v>63</v>
      </c>
      <c r="B48" s="34">
        <f>B47/B34</f>
        <v>34.028985507246375</v>
      </c>
      <c r="C48" s="15" t="s">
        <v>64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15"/>
      <c r="B49" s="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>
      <c r="A50" s="8" t="s">
        <v>65</v>
      </c>
      <c r="B50" s="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>
      <c r="A51" s="162" t="s">
        <v>66</v>
      </c>
      <c r="B51" s="157"/>
      <c r="C51" s="157"/>
      <c r="D51" s="15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>
      <c r="A52" s="8" t="s">
        <v>67</v>
      </c>
      <c r="B52" s="35"/>
      <c r="C52" s="3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>
      <c r="A53" s="27"/>
      <c r="B53" s="35"/>
      <c r="C53" s="3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66" customHeight="1">
      <c r="A54" s="35" t="s">
        <v>68</v>
      </c>
      <c r="B54" s="35" t="s">
        <v>69</v>
      </c>
      <c r="C54" s="37" t="s">
        <v>70</v>
      </c>
      <c r="D54" s="35" t="s">
        <v>71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1" t="s">
        <v>72</v>
      </c>
      <c r="B55" s="9">
        <v>1</v>
      </c>
      <c r="C55" s="4">
        <v>13</v>
      </c>
      <c r="D55" s="15" t="s">
        <v>113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>
      <c r="A56" s="1" t="s">
        <v>73</v>
      </c>
      <c r="B56" s="9">
        <v>1</v>
      </c>
      <c r="C56" s="4">
        <v>60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>
      <c r="A57" s="1" t="s">
        <v>74</v>
      </c>
      <c r="B57" s="9">
        <v>0</v>
      </c>
      <c r="C57" s="4"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>
      <c r="A58" s="1" t="s">
        <v>75</v>
      </c>
      <c r="B58" s="9">
        <v>2</v>
      </c>
      <c r="C58" s="4">
        <v>15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>
      <c r="A59" s="1" t="s">
        <v>76</v>
      </c>
      <c r="B59" s="9">
        <v>0</v>
      </c>
      <c r="C59" s="4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>
      <c r="A60" s="1" t="s">
        <v>77</v>
      </c>
      <c r="B60" s="9">
        <v>0</v>
      </c>
      <c r="C60" s="4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>
      <c r="A61" s="1" t="s">
        <v>78</v>
      </c>
      <c r="B61" s="9">
        <v>0</v>
      </c>
      <c r="C61" s="4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>
      <c r="A62" s="1" t="s">
        <v>79</v>
      </c>
      <c r="B62" s="9">
        <v>5</v>
      </c>
      <c r="C62" s="4">
        <v>1</v>
      </c>
      <c r="D62" s="15" t="s">
        <v>114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>
      <c r="A63" s="1" t="s">
        <v>80</v>
      </c>
      <c r="B63" s="9">
        <v>5</v>
      </c>
      <c r="C63" s="4">
        <v>5</v>
      </c>
      <c r="D63" s="15" t="s">
        <v>115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>
      <c r="A64" s="1" t="s">
        <v>81</v>
      </c>
      <c r="B64" s="9">
        <v>0</v>
      </c>
      <c r="C64" s="4"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>
      <c r="A65" s="1" t="s">
        <v>82</v>
      </c>
      <c r="B65" s="9">
        <v>1</v>
      </c>
      <c r="C65" s="4">
        <v>3</v>
      </c>
      <c r="D65" s="15" t="s">
        <v>116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>
      <c r="A66" s="1" t="s">
        <v>83</v>
      </c>
      <c r="B66" s="9">
        <v>1</v>
      </c>
      <c r="C66" s="4">
        <f>7*15</f>
        <v>105</v>
      </c>
      <c r="D66" s="15" t="s">
        <v>117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>
      <c r="A67" s="1" t="s">
        <v>84</v>
      </c>
      <c r="B67" s="9">
        <v>1</v>
      </c>
      <c r="C67" s="4">
        <v>3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>
      <c r="A68" s="1" t="s">
        <v>85</v>
      </c>
      <c r="B68" s="9">
        <v>1</v>
      </c>
      <c r="C68" s="4">
        <f>0.5*15</f>
        <v>7.5</v>
      </c>
      <c r="D68" s="15" t="s">
        <v>118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>
      <c r="A69" s="1" t="s">
        <v>86</v>
      </c>
      <c r="B69" s="9">
        <v>1</v>
      </c>
      <c r="C69" s="4">
        <f>251*0.1</f>
        <v>25.1</v>
      </c>
      <c r="D69" s="15" t="s">
        <v>119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>
      <c r="A70" s="1" t="s">
        <v>86</v>
      </c>
      <c r="B70" s="9">
        <v>0</v>
      </c>
      <c r="C70" s="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>
      <c r="A71" s="1" t="s">
        <v>87</v>
      </c>
      <c r="B71" s="13">
        <f>SUM(B55:B70)</f>
        <v>19</v>
      </c>
      <c r="C71" s="13">
        <f>(C55*B55)+(C56*B56)+(C57*B57)+(C58*B58)+(B59*C59)+(C60*B60)+(C61*B61)+(C62*B62)+(C63*B63)+(C64*B64)+(C65*B65)+(C66*B66)+(C67*B67)+(B68*C68)+(B69*C69)+(C70*B70)</f>
        <v>276.60000000000002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>
      <c r="A72" s="1" t="s">
        <v>88</v>
      </c>
      <c r="B72" s="2"/>
      <c r="C72" s="41">
        <f>C71/60</f>
        <v>4.6100000000000003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>
      <c r="A73" s="15" t="str">
        <f>A48</f>
        <v>Labor Budget in Hours, per bed</v>
      </c>
      <c r="B73" s="2"/>
      <c r="C73" s="62">
        <f>B48</f>
        <v>34.028985507246375</v>
      </c>
      <c r="D73" s="15" t="s">
        <v>89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15"/>
      <c r="B74" s="2"/>
      <c r="C74" s="6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>
      <c r="A75" s="8" t="s">
        <v>90</v>
      </c>
      <c r="B75" s="2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A76" s="8" t="s">
        <v>91</v>
      </c>
      <c r="B76" s="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>
      <c r="A77" s="15"/>
      <c r="B77" s="2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>
      <c r="A78" s="25" t="s">
        <v>93</v>
      </c>
      <c r="B78" s="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>
      <c r="A79" s="1" t="s">
        <v>94</v>
      </c>
      <c r="B79" s="9">
        <v>5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>
      <c r="A80" s="1" t="s">
        <v>95</v>
      </c>
      <c r="B80" s="43">
        <v>1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>
      <c r="A81" s="1" t="s">
        <v>96</v>
      </c>
      <c r="B81" s="13">
        <f>(B79*B80)*B19</f>
        <v>1875</v>
      </c>
      <c r="C81" s="13" t="str">
        <f>C19</f>
        <v>head</v>
      </c>
      <c r="D81" s="15" t="s">
        <v>97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>
      <c r="A82" s="1" t="s">
        <v>98</v>
      </c>
      <c r="B82" s="45">
        <f>B21*(B79*B80)</f>
        <v>3750</v>
      </c>
      <c r="C82" s="46" t="s">
        <v>120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>
      <c r="A83" s="1" t="s">
        <v>34</v>
      </c>
      <c r="B83" s="47">
        <f>B44*(B79*B80)</f>
        <v>65</v>
      </c>
      <c r="C83" s="64">
        <f>B83/(B83+B84)</f>
        <v>0.14050636331703098</v>
      </c>
      <c r="D83" s="15"/>
      <c r="E83" s="15"/>
      <c r="F83" s="15"/>
      <c r="G83" s="1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>
      <c r="A84" s="1" t="s">
        <v>100</v>
      </c>
      <c r="B84" s="49">
        <f>C72*B34*(B79*B80)</f>
        <v>397.61250000000007</v>
      </c>
      <c r="C84" s="64">
        <f>B84/(B84+B83)</f>
        <v>0.85949363668296908</v>
      </c>
      <c r="D84" s="15" t="s">
        <v>121</v>
      </c>
      <c r="E84" s="15"/>
      <c r="F84" s="15"/>
      <c r="G84" s="1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>
      <c r="A85" s="26" t="s">
        <v>122</v>
      </c>
      <c r="B85" s="50">
        <f>B82-(B83+B84)</f>
        <v>3287.3874999999998</v>
      </c>
      <c r="C85" s="15"/>
      <c r="D85" s="15"/>
      <c r="E85" s="15"/>
      <c r="F85" s="15"/>
      <c r="G85" s="1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>
      <c r="A86" s="27" t="s">
        <v>123</v>
      </c>
      <c r="B86" s="51">
        <f>B85/B82</f>
        <v>0.87663666666666662</v>
      </c>
      <c r="C86" s="52" t="s">
        <v>102</v>
      </c>
      <c r="D86" s="51">
        <f>B22</f>
        <v>0.2</v>
      </c>
      <c r="E86" s="15"/>
      <c r="F86" s="15"/>
      <c r="G86" s="1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>
      <c r="A87" s="27" t="s">
        <v>103</v>
      </c>
      <c r="B87" s="65">
        <f>(B83+B84)/B81</f>
        <v>0.24672666666666671</v>
      </c>
      <c r="C87" s="66" t="str">
        <f>C19</f>
        <v>head</v>
      </c>
      <c r="D87" s="15"/>
      <c r="E87" s="15"/>
      <c r="F87" s="15"/>
      <c r="G87" s="1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>
      <c r="A88" s="1"/>
      <c r="B88" s="2"/>
      <c r="C88" s="15"/>
      <c r="D88" s="15"/>
      <c r="E88" s="15"/>
      <c r="F88" s="15"/>
      <c r="G88" s="1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>
      <c r="A89" s="8" t="s">
        <v>104</v>
      </c>
      <c r="B89" s="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>
      <c r="A90" s="8" t="s">
        <v>105</v>
      </c>
      <c r="B90" s="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>
      <c r="A91" s="8" t="s">
        <v>106</v>
      </c>
      <c r="B91" s="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>
      <c r="A92" s="8" t="s">
        <v>47</v>
      </c>
      <c r="B92" s="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>
      <c r="A93" s="8" t="s">
        <v>48</v>
      </c>
      <c r="B93" s="28"/>
      <c r="C93" s="28"/>
      <c r="D93" s="15"/>
      <c r="E93" s="15"/>
      <c r="F93" s="15"/>
      <c r="G93" s="1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>
      <c r="A94" s="8" t="s">
        <v>49</v>
      </c>
      <c r="B94" s="28"/>
      <c r="C94" s="28"/>
      <c r="D94" s="15"/>
      <c r="E94" s="15"/>
      <c r="F94" s="15"/>
      <c r="G94" s="1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>
      <c r="A95" s="25"/>
      <c r="B95" s="28"/>
      <c r="C95" s="28"/>
      <c r="D95" s="15"/>
      <c r="E95" s="15"/>
      <c r="F95" s="15"/>
      <c r="G95" s="1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30" customHeight="1">
      <c r="A96" s="25" t="s">
        <v>107</v>
      </c>
      <c r="B96" s="160" t="s">
        <v>124</v>
      </c>
      <c r="C96" s="161"/>
      <c r="D96" s="15"/>
      <c r="E96" s="15"/>
      <c r="F96" s="15"/>
      <c r="G96" s="1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>
      <c r="A97" s="1" t="s">
        <v>108</v>
      </c>
      <c r="B97" s="29">
        <v>0</v>
      </c>
      <c r="C97" s="54"/>
      <c r="D97" s="15" t="s">
        <v>125</v>
      </c>
      <c r="E97" s="15"/>
      <c r="F97" s="15"/>
      <c r="G97" s="1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>
      <c r="A98" s="1" t="s">
        <v>108</v>
      </c>
      <c r="B98" s="29">
        <v>0</v>
      </c>
      <c r="C98" s="55"/>
      <c r="D98" s="15"/>
      <c r="E98" s="15"/>
      <c r="F98" s="15"/>
      <c r="G98" s="1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>
      <c r="A99" s="26" t="s">
        <v>35</v>
      </c>
      <c r="B99" s="56">
        <f>B82-(B83+B84+B97+B98)</f>
        <v>3287.3874999999998</v>
      </c>
      <c r="C99" s="15"/>
      <c r="D99" s="15"/>
      <c r="E99" s="15"/>
      <c r="F99" s="15"/>
      <c r="G99" s="1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>
      <c r="A100" s="27" t="s">
        <v>101</v>
      </c>
      <c r="B100" s="51">
        <f>B99/B82</f>
        <v>0.87663666666666662</v>
      </c>
      <c r="C100" s="15" t="s">
        <v>126</v>
      </c>
      <c r="D100" s="15"/>
      <c r="E100" s="15"/>
      <c r="F100" s="15"/>
      <c r="G100" s="1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>
      <c r="A101" s="25" t="s">
        <v>103</v>
      </c>
      <c r="B101" s="58">
        <f>(B82-B99)/B81</f>
        <v>0.24672666666666676</v>
      </c>
      <c r="C101" s="15"/>
      <c r="D101" s="15"/>
      <c r="E101" s="15"/>
      <c r="F101" s="15"/>
      <c r="G101" s="1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>
      <c r="A102" s="15"/>
      <c r="B102" s="2"/>
      <c r="C102" s="15"/>
      <c r="D102" s="15"/>
      <c r="E102" s="15"/>
      <c r="F102" s="15"/>
      <c r="G102" s="1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>
      <c r="A103" s="15"/>
      <c r="B103" s="2"/>
      <c r="C103" s="15"/>
      <c r="D103" s="15"/>
      <c r="E103" s="15"/>
      <c r="F103" s="15"/>
      <c r="G103" s="1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>
      <c r="A104" s="30" t="s">
        <v>15</v>
      </c>
      <c r="B104" s="2"/>
      <c r="C104" s="15"/>
      <c r="D104" s="15"/>
      <c r="E104" s="15"/>
      <c r="F104" s="15"/>
      <c r="G104" s="1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>
      <c r="A105" s="15"/>
      <c r="B105" s="2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3">
    <mergeCell ref="A37:E37"/>
    <mergeCell ref="A51:D51"/>
    <mergeCell ref="B96:C9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5" defaultRowHeight="15" customHeight="1"/>
  <cols>
    <col min="1" max="1" width="31.83203125" customWidth="1"/>
    <col min="2" max="2" width="20" customWidth="1"/>
    <col min="3" max="3" width="21" customWidth="1"/>
    <col min="4" max="7" width="8.6640625" customWidth="1"/>
    <col min="8" max="25" width="14.5" customWidth="1"/>
  </cols>
  <sheetData>
    <row r="1" spans="1:26">
      <c r="A1" s="1" t="s">
        <v>0</v>
      </c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>
      <c r="A2" s="3" t="s">
        <v>1</v>
      </c>
      <c r="B2" s="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15"/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>
      <c r="A4" s="4" t="s">
        <v>2</v>
      </c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>
      <c r="A5" s="5" t="s">
        <v>3</v>
      </c>
      <c r="B5" s="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"/>
      <c r="B6" s="6"/>
      <c r="C6" s="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8" t="s">
        <v>6</v>
      </c>
      <c r="B7" s="7"/>
      <c r="C7" s="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"/>
      <c r="B8" s="7"/>
      <c r="C8" s="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" t="s">
        <v>8</v>
      </c>
      <c r="B9" s="59" t="s">
        <v>127</v>
      </c>
      <c r="C9" s="6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" t="s">
        <v>9</v>
      </c>
      <c r="B10" s="59" t="s">
        <v>128</v>
      </c>
      <c r="C10" s="6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" t="s">
        <v>10</v>
      </c>
      <c r="B11" s="9">
        <v>300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" t="s">
        <v>11</v>
      </c>
      <c r="B12" s="9">
        <v>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8" t="s">
        <v>12</v>
      </c>
      <c r="B14" s="10"/>
      <c r="C14" s="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8" t="s">
        <v>13</v>
      </c>
      <c r="B15" s="10"/>
      <c r="C15" s="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8" t="s">
        <v>14</v>
      </c>
      <c r="B16" s="10"/>
      <c r="C16" s="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>
      <c r="A17" s="11" t="s">
        <v>15</v>
      </c>
      <c r="B17" s="10"/>
      <c r="C17" s="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>
      <c r="A18" s="1"/>
      <c r="B18" s="10"/>
      <c r="C18" s="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>
      <c r="A19" s="1" t="s">
        <v>16</v>
      </c>
      <c r="B19" s="9">
        <v>400</v>
      </c>
      <c r="C19" s="1" t="str">
        <f>B10</f>
        <v>pounds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" t="s">
        <v>17</v>
      </c>
      <c r="B20" s="14">
        <f>15/25</f>
        <v>0.6</v>
      </c>
      <c r="C20" s="15" t="str">
        <f>B10</f>
        <v>pounds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15" t="s">
        <v>19</v>
      </c>
      <c r="B21" s="16">
        <f>B19*B20</f>
        <v>240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>
      <c r="A22" s="1" t="s">
        <v>20</v>
      </c>
      <c r="B22" s="17">
        <v>0.2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15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>
      <c r="A24" s="8" t="s">
        <v>21</v>
      </c>
      <c r="B24" s="18"/>
      <c r="C24" s="1"/>
      <c r="D24" s="19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>
      <c r="A25" s="1"/>
      <c r="B25" s="18"/>
      <c r="C25" s="1"/>
      <c r="D25" s="19"/>
      <c r="E25" s="15" t="s">
        <v>22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>
      <c r="A26" s="1" t="s">
        <v>23</v>
      </c>
      <c r="B26" s="21">
        <f>B21</f>
        <v>240</v>
      </c>
      <c r="C26" s="1" t="s">
        <v>25</v>
      </c>
      <c r="D26" s="4">
        <v>5</v>
      </c>
      <c r="E26" s="20">
        <f t="shared" ref="E26:E28" si="0">D26*B26</f>
        <v>1200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1" t="s">
        <v>26</v>
      </c>
      <c r="B27" s="21">
        <f>B21-B28</f>
        <v>192</v>
      </c>
      <c r="C27" s="1" t="s">
        <v>25</v>
      </c>
      <c r="D27" s="13">
        <f>D26</f>
        <v>5</v>
      </c>
      <c r="E27" s="20">
        <f t="shared" si="0"/>
        <v>960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>
      <c r="A28" s="1" t="s">
        <v>27</v>
      </c>
      <c r="B28" s="21">
        <f>B21*B22</f>
        <v>48</v>
      </c>
      <c r="C28" s="1" t="s">
        <v>25</v>
      </c>
      <c r="D28" s="13">
        <f>D26</f>
        <v>5</v>
      </c>
      <c r="E28" s="20">
        <f t="shared" si="0"/>
        <v>240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>
      <c r="A29" s="15"/>
      <c r="B29" s="1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8" t="s">
        <v>28</v>
      </c>
      <c r="B30" s="2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5"/>
    </row>
    <row r="31" spans="1:26" ht="15.75" customHeight="1">
      <c r="A31" s="1"/>
      <c r="B31" s="2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>
      <c r="A32" s="1" t="s">
        <v>29</v>
      </c>
      <c r="B32" s="24">
        <v>12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>
      <c r="A33" s="1" t="s">
        <v>30</v>
      </c>
      <c r="B33" s="17">
        <v>0.15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1" t="s">
        <v>31</v>
      </c>
      <c r="B34" s="21">
        <f>B32+(B32*B33)</f>
        <v>13.8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>
      <c r="A35" s="15"/>
      <c r="B35" s="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8" t="s">
        <v>32</v>
      </c>
      <c r="B36" s="2"/>
      <c r="C36" s="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>
      <c r="A37" s="162" t="s">
        <v>33</v>
      </c>
      <c r="B37" s="157"/>
      <c r="C37" s="157"/>
      <c r="D37" s="157"/>
      <c r="E37" s="157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>
      <c r="A38" s="32" t="s">
        <v>54</v>
      </c>
      <c r="B38" s="23"/>
      <c r="C38" s="1"/>
      <c r="D38" s="1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>
      <c r="A39" s="2"/>
      <c r="B39" s="23"/>
      <c r="C39" s="1"/>
      <c r="D39" s="1"/>
      <c r="E39" s="2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>
      <c r="A40" s="2" t="s">
        <v>55</v>
      </c>
      <c r="B40" s="24">
        <v>18</v>
      </c>
      <c r="C40" s="1"/>
      <c r="D40" s="1"/>
      <c r="E40" s="2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>
      <c r="A41" s="2" t="s">
        <v>112</v>
      </c>
      <c r="B41" s="24">
        <v>0</v>
      </c>
      <c r="C41" s="1"/>
      <c r="D41" s="15"/>
      <c r="E41" s="2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>
      <c r="A42" s="2" t="s">
        <v>57</v>
      </c>
      <c r="B42" s="24">
        <v>20</v>
      </c>
      <c r="C42" s="1" t="s">
        <v>58</v>
      </c>
      <c r="D42" s="15"/>
      <c r="E42" s="2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>
      <c r="A43" s="2" t="s">
        <v>59</v>
      </c>
      <c r="B43" s="24">
        <v>0</v>
      </c>
      <c r="C43" s="1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2" t="s">
        <v>60</v>
      </c>
      <c r="B44" s="21">
        <f>SUM(B40:B43)</f>
        <v>38</v>
      </c>
      <c r="C44" s="15"/>
      <c r="D44" s="15"/>
      <c r="E44" s="18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2"/>
      <c r="B45" s="1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>
      <c r="A46" s="32" t="s">
        <v>61</v>
      </c>
      <c r="B46" s="18"/>
      <c r="C46" s="15"/>
      <c r="D46" s="15"/>
      <c r="E46" s="3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>
      <c r="A47" s="2" t="s">
        <v>62</v>
      </c>
      <c r="B47" s="21">
        <f>B27-B44</f>
        <v>154</v>
      </c>
      <c r="C47" s="15"/>
      <c r="D47" s="15"/>
      <c r="E47" s="3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>
      <c r="A48" s="2" t="s">
        <v>63</v>
      </c>
      <c r="B48" s="34">
        <f>B47/B34</f>
        <v>11.159420289855072</v>
      </c>
      <c r="C48" s="15" t="s">
        <v>64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15"/>
      <c r="B49" s="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>
      <c r="A50" s="8" t="s">
        <v>65</v>
      </c>
      <c r="B50" s="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>
      <c r="A51" s="162" t="s">
        <v>66</v>
      </c>
      <c r="B51" s="157"/>
      <c r="C51" s="157"/>
      <c r="D51" s="15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>
      <c r="A52" s="8" t="s">
        <v>67</v>
      </c>
      <c r="B52" s="35"/>
      <c r="C52" s="3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>
      <c r="A53" s="27"/>
      <c r="B53" s="35"/>
      <c r="C53" s="3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66" customHeight="1">
      <c r="A54" s="35" t="s">
        <v>68</v>
      </c>
      <c r="B54" s="35" t="s">
        <v>69</v>
      </c>
      <c r="C54" s="37" t="s">
        <v>70</v>
      </c>
      <c r="D54" s="35" t="s">
        <v>71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1" t="s">
        <v>72</v>
      </c>
      <c r="B55" s="9">
        <v>2</v>
      </c>
      <c r="C55" s="4">
        <v>20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>
      <c r="A56" s="1" t="s">
        <v>73</v>
      </c>
      <c r="B56" s="9">
        <v>1</v>
      </c>
      <c r="C56" s="4">
        <v>30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>
      <c r="A57" s="1" t="s">
        <v>74</v>
      </c>
      <c r="B57" s="9">
        <v>0</v>
      </c>
      <c r="C57" s="4"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>
      <c r="A58" s="1" t="s">
        <v>75</v>
      </c>
      <c r="B58" s="9">
        <v>3</v>
      </c>
      <c r="C58" s="4">
        <v>15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>
      <c r="A59" s="1" t="s">
        <v>76</v>
      </c>
      <c r="B59" s="9">
        <v>2</v>
      </c>
      <c r="C59" s="4">
        <v>30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>
      <c r="A60" s="1" t="s">
        <v>77</v>
      </c>
      <c r="B60" s="9">
        <v>0</v>
      </c>
      <c r="C60" s="4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>
      <c r="A61" s="1" t="s">
        <v>78</v>
      </c>
      <c r="B61" s="9">
        <v>0</v>
      </c>
      <c r="C61" s="4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>
      <c r="A62" s="1" t="s">
        <v>79</v>
      </c>
      <c r="B62" s="9">
        <v>0</v>
      </c>
      <c r="C62" s="4"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>
      <c r="A63" s="1" t="s">
        <v>80</v>
      </c>
      <c r="B63" s="9">
        <v>0</v>
      </c>
      <c r="C63" s="4"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>
      <c r="A64" s="1" t="s">
        <v>81</v>
      </c>
      <c r="B64" s="9">
        <v>0</v>
      </c>
      <c r="C64" s="4"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>
      <c r="A65" s="1" t="s">
        <v>82</v>
      </c>
      <c r="B65" s="9">
        <v>0</v>
      </c>
      <c r="C65" s="4"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>
      <c r="A66" s="1" t="s">
        <v>83</v>
      </c>
      <c r="B66" s="9">
        <v>1</v>
      </c>
      <c r="C66" s="4">
        <v>120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>
      <c r="A67" s="1" t="s">
        <v>84</v>
      </c>
      <c r="B67" s="9">
        <v>0</v>
      </c>
      <c r="C67" s="4"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>
      <c r="A68" s="1" t="s">
        <v>85</v>
      </c>
      <c r="B68" s="9">
        <v>1</v>
      </c>
      <c r="C68" s="4">
        <v>120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>
      <c r="A69" s="1" t="s">
        <v>86</v>
      </c>
      <c r="B69" s="9">
        <v>0</v>
      </c>
      <c r="C69" s="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>
      <c r="A70" s="1" t="s">
        <v>86</v>
      </c>
      <c r="B70" s="9">
        <v>0</v>
      </c>
      <c r="C70" s="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>
      <c r="A71" s="1" t="s">
        <v>87</v>
      </c>
      <c r="B71" s="13">
        <f>SUM(B55:B70)</f>
        <v>10</v>
      </c>
      <c r="C71" s="13">
        <f>(C55*B55)+(C56*B56)+(C57*B57)+(C58*B58)+(B59*C59)+(C60*B60)+(C61*B61)+(C62*B62)+(C63*B63)+(C64*B64)+(C65*B65)+(C66*B66)+(C67*B67)+(B68*C68)+(B69*C69)+(C70*B70)</f>
        <v>415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>
      <c r="A72" s="1" t="s">
        <v>88</v>
      </c>
      <c r="B72" s="2"/>
      <c r="C72" s="41">
        <f>C71/60</f>
        <v>6.916666666666667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>
      <c r="A73" s="1" t="str">
        <f>A48</f>
        <v>Labor Budget in Hours, per bed</v>
      </c>
      <c r="B73" s="2"/>
      <c r="C73" s="41">
        <f>B48</f>
        <v>11.159420289855072</v>
      </c>
      <c r="D73" s="15" t="s">
        <v>89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15"/>
      <c r="B74" s="2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>
      <c r="A75" s="8" t="s">
        <v>90</v>
      </c>
      <c r="B75" s="2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A76" s="8" t="s">
        <v>91</v>
      </c>
      <c r="B76" s="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>
      <c r="A77" s="15"/>
      <c r="B77" s="2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>
      <c r="A78" s="25" t="s">
        <v>93</v>
      </c>
      <c r="B78" s="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>
      <c r="A79" s="1" t="s">
        <v>94</v>
      </c>
      <c r="B79" s="9">
        <v>5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>
      <c r="A80" s="1" t="s">
        <v>95</v>
      </c>
      <c r="B80" s="43">
        <v>1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>
      <c r="A81" s="1" t="s">
        <v>96</v>
      </c>
      <c r="B81" s="13">
        <f>(B79*B80)*B19</f>
        <v>2000</v>
      </c>
      <c r="C81" s="13" t="str">
        <f>C19</f>
        <v>pounds</v>
      </c>
      <c r="D81" s="15" t="s">
        <v>97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>
      <c r="A82" s="1" t="s">
        <v>98</v>
      </c>
      <c r="B82" s="45">
        <f>B21*(B79*B80)</f>
        <v>1200</v>
      </c>
      <c r="C82" s="46" t="s">
        <v>99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>
      <c r="A83" s="1" t="s">
        <v>34</v>
      </c>
      <c r="B83" s="47">
        <f>B44*(B79*B80)</f>
        <v>190</v>
      </c>
      <c r="C83" s="64">
        <f>B83/(B83+B84)</f>
        <v>0.2847508430123642</v>
      </c>
      <c r="D83" s="15"/>
      <c r="E83" s="15"/>
      <c r="F83" s="15"/>
      <c r="G83" s="1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>
      <c r="A84" s="1" t="s">
        <v>100</v>
      </c>
      <c r="B84" s="49">
        <f>C72*B34*(B79*B80)</f>
        <v>477.25</v>
      </c>
      <c r="C84" s="64">
        <f>B84/(B84+B83)</f>
        <v>0.7152491569876358</v>
      </c>
      <c r="D84" s="15" t="s">
        <v>121</v>
      </c>
      <c r="E84" s="15"/>
      <c r="F84" s="15"/>
      <c r="G84" s="1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>
      <c r="A85" s="26" t="s">
        <v>35</v>
      </c>
      <c r="B85" s="50">
        <f>B82-(B83+B84)</f>
        <v>532.75</v>
      </c>
      <c r="C85" s="15"/>
      <c r="D85" s="15"/>
      <c r="E85" s="15"/>
      <c r="F85" s="15"/>
      <c r="G85" s="1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>
      <c r="A86" s="27" t="s">
        <v>101</v>
      </c>
      <c r="B86" s="51">
        <f>B85/B82</f>
        <v>0.44395833333333334</v>
      </c>
      <c r="C86" s="52" t="s">
        <v>102</v>
      </c>
      <c r="D86" s="51">
        <f>B22</f>
        <v>0.2</v>
      </c>
      <c r="E86" s="15"/>
      <c r="F86" s="15"/>
      <c r="G86" s="1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>
      <c r="A87" s="27" t="s">
        <v>103</v>
      </c>
      <c r="B87" s="65">
        <f>(B83+B84)/B81</f>
        <v>0.333625</v>
      </c>
      <c r="C87" s="15"/>
      <c r="D87" s="15"/>
      <c r="E87" s="15"/>
      <c r="F87" s="15"/>
      <c r="G87" s="1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>
      <c r="A88" s="1"/>
      <c r="B88" s="2"/>
      <c r="C88" s="15"/>
      <c r="D88" s="15"/>
      <c r="E88" s="15"/>
      <c r="F88" s="15"/>
      <c r="G88" s="1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>
      <c r="A89" s="8" t="s">
        <v>104</v>
      </c>
      <c r="B89" s="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>
      <c r="A90" s="8" t="s">
        <v>105</v>
      </c>
      <c r="B90" s="2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>
      <c r="A91" s="8" t="s">
        <v>106</v>
      </c>
      <c r="B91" s="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>
      <c r="A92" s="8" t="s">
        <v>47</v>
      </c>
      <c r="B92" s="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>
      <c r="A93" s="8" t="s">
        <v>48</v>
      </c>
      <c r="B93" s="28"/>
      <c r="C93" s="28"/>
      <c r="D93" s="15"/>
      <c r="E93" s="15"/>
      <c r="F93" s="15"/>
      <c r="G93" s="1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>
      <c r="A94" s="8" t="s">
        <v>49</v>
      </c>
      <c r="B94" s="28"/>
      <c r="C94" s="28"/>
      <c r="D94" s="15"/>
      <c r="E94" s="15"/>
      <c r="F94" s="15"/>
      <c r="G94" s="1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>
      <c r="A95" s="25"/>
      <c r="B95" s="28"/>
      <c r="C95" s="28"/>
      <c r="D95" s="15"/>
      <c r="E95" s="15"/>
      <c r="F95" s="15"/>
      <c r="G95" s="1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30" customHeight="1">
      <c r="A96" s="25" t="s">
        <v>107</v>
      </c>
      <c r="B96" s="160"/>
      <c r="C96" s="161"/>
      <c r="D96" s="15"/>
      <c r="E96" s="15"/>
      <c r="F96" s="15"/>
      <c r="G96" s="1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>
      <c r="A97" s="1" t="s">
        <v>108</v>
      </c>
      <c r="B97" s="29">
        <v>0</v>
      </c>
      <c r="C97" s="54"/>
      <c r="D97" s="67" t="s">
        <v>125</v>
      </c>
      <c r="E97" s="61"/>
      <c r="F97" s="61"/>
      <c r="G97" s="61"/>
      <c r="H97" s="61"/>
      <c r="I97" s="61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>
      <c r="A98" s="1" t="s">
        <v>108</v>
      </c>
      <c r="B98" s="29">
        <v>0</v>
      </c>
      <c r="C98" s="55"/>
      <c r="D98" s="15"/>
      <c r="E98" s="15"/>
      <c r="F98" s="15"/>
      <c r="G98" s="1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>
      <c r="A99" s="26" t="s">
        <v>35</v>
      </c>
      <c r="B99" s="56">
        <f>B82-(B83+B84+B97+B98)</f>
        <v>532.75</v>
      </c>
      <c r="C99" s="15"/>
      <c r="D99" s="15"/>
      <c r="E99" s="15"/>
      <c r="F99" s="15"/>
      <c r="G99" s="1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>
      <c r="A100" s="27" t="s">
        <v>101</v>
      </c>
      <c r="B100" s="51">
        <f>B99/B82</f>
        <v>0.44395833333333334</v>
      </c>
      <c r="C100" s="15" t="s">
        <v>126</v>
      </c>
      <c r="D100" s="15"/>
      <c r="E100" s="15"/>
      <c r="F100" s="15"/>
      <c r="G100" s="1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>
      <c r="A101" s="25" t="s">
        <v>103</v>
      </c>
      <c r="B101" s="58">
        <f>(B82-B99)/B81</f>
        <v>0.333625</v>
      </c>
      <c r="C101" s="15"/>
      <c r="D101" s="15"/>
      <c r="E101" s="15"/>
      <c r="F101" s="15"/>
      <c r="G101" s="1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>
      <c r="A102" s="15"/>
      <c r="B102" s="2"/>
      <c r="C102" s="15"/>
      <c r="D102" s="15"/>
      <c r="E102" s="15"/>
      <c r="F102" s="15"/>
      <c r="G102" s="1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>
      <c r="A103" s="15"/>
      <c r="B103" s="2"/>
      <c r="C103" s="15"/>
      <c r="D103" s="15"/>
      <c r="E103" s="15"/>
      <c r="F103" s="15"/>
      <c r="G103" s="1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>
      <c r="A104" s="30" t="s">
        <v>15</v>
      </c>
      <c r="B104" s="2"/>
      <c r="C104" s="15"/>
      <c r="D104" s="15"/>
      <c r="E104" s="15"/>
      <c r="F104" s="15"/>
      <c r="G104" s="1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>
      <c r="A105" s="15"/>
      <c r="B105" s="2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3">
    <mergeCell ref="A37:E37"/>
    <mergeCell ref="A51:D51"/>
    <mergeCell ref="B96:C9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5" defaultRowHeight="15" customHeight="1"/>
  <cols>
    <col min="1" max="1" width="31.83203125" customWidth="1"/>
    <col min="2" max="2" width="20" customWidth="1"/>
    <col min="3" max="3" width="21" customWidth="1"/>
    <col min="4" max="7" width="8.6640625" customWidth="1"/>
  </cols>
  <sheetData>
    <row r="1" spans="1:3">
      <c r="A1" s="1" t="s">
        <v>0</v>
      </c>
      <c r="B1" s="2"/>
    </row>
    <row r="2" spans="1:3">
      <c r="A2" s="3" t="s">
        <v>1</v>
      </c>
      <c r="B2" s="2"/>
    </row>
    <row r="3" spans="1:3">
      <c r="B3" s="2"/>
    </row>
    <row r="4" spans="1:3">
      <c r="A4" s="4" t="s">
        <v>2</v>
      </c>
      <c r="B4" s="2"/>
    </row>
    <row r="5" spans="1:3">
      <c r="A5" s="5" t="s">
        <v>3</v>
      </c>
      <c r="B5" s="2"/>
    </row>
    <row r="6" spans="1:3">
      <c r="A6" s="1"/>
      <c r="B6" s="6"/>
      <c r="C6" s="6"/>
    </row>
    <row r="7" spans="1:3">
      <c r="A7" s="8" t="s">
        <v>6</v>
      </c>
      <c r="B7" s="7"/>
      <c r="C7" s="7"/>
    </row>
    <row r="8" spans="1:3">
      <c r="A8" s="1"/>
      <c r="B8" s="7"/>
      <c r="C8" s="7"/>
    </row>
    <row r="9" spans="1:3">
      <c r="A9" s="1" t="s">
        <v>8</v>
      </c>
      <c r="B9" s="59" t="s">
        <v>127</v>
      </c>
      <c r="C9" s="60"/>
    </row>
    <row r="10" spans="1:3">
      <c r="A10" s="1" t="s">
        <v>9</v>
      </c>
      <c r="B10" s="59" t="s">
        <v>128</v>
      </c>
      <c r="C10" s="60"/>
    </row>
    <row r="11" spans="1:3">
      <c r="A11" s="1" t="s">
        <v>10</v>
      </c>
      <c r="B11" s="9">
        <v>300</v>
      </c>
    </row>
    <row r="12" spans="1:3">
      <c r="A12" s="1" t="s">
        <v>11</v>
      </c>
      <c r="B12" s="9">
        <v>2</v>
      </c>
    </row>
    <row r="13" spans="1:3">
      <c r="B13" s="2"/>
    </row>
    <row r="14" spans="1:3">
      <c r="A14" s="8" t="s">
        <v>12</v>
      </c>
      <c r="B14" s="10"/>
      <c r="C14" s="1"/>
    </row>
    <row r="15" spans="1:3">
      <c r="A15" s="8" t="s">
        <v>13</v>
      </c>
      <c r="B15" s="10"/>
      <c r="C15" s="1"/>
    </row>
    <row r="16" spans="1:3">
      <c r="A16" s="8" t="s">
        <v>14</v>
      </c>
      <c r="B16" s="10"/>
      <c r="C16" s="1"/>
    </row>
    <row r="17" spans="1:25">
      <c r="A17" s="11" t="s">
        <v>15</v>
      </c>
      <c r="B17" s="10"/>
      <c r="C17" s="1"/>
    </row>
    <row r="18" spans="1:25">
      <c r="A18" s="1"/>
      <c r="B18" s="10"/>
      <c r="C18" s="1"/>
    </row>
    <row r="19" spans="1:25">
      <c r="A19" s="1" t="s">
        <v>16</v>
      </c>
      <c r="B19" s="9">
        <v>400</v>
      </c>
      <c r="C19" s="1" t="str">
        <f>B10</f>
        <v>pounds</v>
      </c>
    </row>
    <row r="20" spans="1:25">
      <c r="A20" s="1" t="s">
        <v>17</v>
      </c>
      <c r="B20" s="14">
        <f>15/25</f>
        <v>0.6</v>
      </c>
      <c r="C20" t="str">
        <f>B10</f>
        <v>pounds</v>
      </c>
    </row>
    <row r="21" spans="1:25" ht="15.75" customHeight="1">
      <c r="A21" t="s">
        <v>19</v>
      </c>
      <c r="B21" s="16">
        <f>B19*B20</f>
        <v>240</v>
      </c>
    </row>
    <row r="22" spans="1:25" ht="15.75" customHeight="1">
      <c r="A22" s="1" t="s">
        <v>20</v>
      </c>
      <c r="B22" s="17">
        <v>0.2</v>
      </c>
    </row>
    <row r="23" spans="1:25" ht="15.75" customHeight="1">
      <c r="B23" s="18"/>
    </row>
    <row r="24" spans="1:25" ht="15.75" customHeight="1">
      <c r="A24" s="8" t="s">
        <v>21</v>
      </c>
      <c r="B24" s="18"/>
      <c r="C24" s="1"/>
      <c r="D24" s="19"/>
      <c r="E24" s="20"/>
    </row>
    <row r="25" spans="1:25" ht="15.75" customHeight="1">
      <c r="A25" s="1"/>
      <c r="B25" s="18"/>
      <c r="C25" s="1"/>
      <c r="D25" s="19"/>
      <c r="E25" s="15" t="s">
        <v>22</v>
      </c>
    </row>
    <row r="26" spans="1:25" ht="15.75" customHeight="1">
      <c r="A26" s="1" t="s">
        <v>23</v>
      </c>
      <c r="B26" s="21">
        <f>B21</f>
        <v>240</v>
      </c>
      <c r="C26" s="1" t="s">
        <v>25</v>
      </c>
      <c r="D26" s="4">
        <v>5</v>
      </c>
      <c r="E26" s="20">
        <f t="shared" ref="E26:E28" si="0">D26*B26</f>
        <v>1200</v>
      </c>
    </row>
    <row r="27" spans="1:25" ht="15.75" customHeight="1">
      <c r="A27" s="1" t="s">
        <v>26</v>
      </c>
      <c r="B27" s="21">
        <f>B21-B28</f>
        <v>192</v>
      </c>
      <c r="C27" s="1" t="s">
        <v>25</v>
      </c>
      <c r="D27" s="13">
        <f>D26</f>
        <v>5</v>
      </c>
      <c r="E27" s="20">
        <f t="shared" si="0"/>
        <v>960</v>
      </c>
    </row>
    <row r="28" spans="1:25" ht="15.75" customHeight="1">
      <c r="A28" s="1" t="s">
        <v>27</v>
      </c>
      <c r="B28" s="21">
        <f>B21*B22</f>
        <v>48</v>
      </c>
      <c r="C28" s="1" t="s">
        <v>25</v>
      </c>
      <c r="D28" s="13">
        <f>D26</f>
        <v>5</v>
      </c>
      <c r="E28" s="20">
        <f t="shared" si="0"/>
        <v>240</v>
      </c>
    </row>
    <row r="29" spans="1:25" ht="15.75" customHeight="1">
      <c r="B29" s="18"/>
    </row>
    <row r="30" spans="1:25" ht="15.75" customHeight="1">
      <c r="A30" s="8" t="s">
        <v>28</v>
      </c>
      <c r="B30" s="2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.75" customHeight="1">
      <c r="A31" s="1"/>
      <c r="B31" s="23"/>
    </row>
    <row r="32" spans="1:25" ht="15.75" customHeight="1">
      <c r="A32" s="1" t="s">
        <v>29</v>
      </c>
      <c r="B32" s="24">
        <v>12</v>
      </c>
    </row>
    <row r="33" spans="1:5" ht="15.75" customHeight="1">
      <c r="A33" s="1" t="s">
        <v>30</v>
      </c>
      <c r="B33" s="17">
        <v>0.15</v>
      </c>
    </row>
    <row r="34" spans="1:5" ht="15.75" customHeight="1">
      <c r="A34" s="1" t="s">
        <v>31</v>
      </c>
      <c r="B34" s="21">
        <f>B32+(B32*B33)</f>
        <v>13.8</v>
      </c>
    </row>
    <row r="35" spans="1:5" ht="15.75" customHeight="1">
      <c r="B35" s="2"/>
    </row>
    <row r="36" spans="1:5" ht="15.75" customHeight="1">
      <c r="A36" s="8" t="s">
        <v>32</v>
      </c>
      <c r="B36" s="2"/>
      <c r="C36" s="1"/>
    </row>
    <row r="37" spans="1:5" ht="15.75" customHeight="1">
      <c r="A37" s="162" t="s">
        <v>33</v>
      </c>
      <c r="B37" s="157"/>
      <c r="C37" s="157"/>
      <c r="D37" s="157"/>
      <c r="E37" s="157"/>
    </row>
    <row r="38" spans="1:5" ht="15.75" customHeight="1">
      <c r="A38" s="32" t="s">
        <v>54</v>
      </c>
      <c r="B38" s="23"/>
      <c r="C38" s="1"/>
      <c r="D38" s="1"/>
      <c r="E38" s="20"/>
    </row>
    <row r="39" spans="1:5" ht="15.75" customHeight="1">
      <c r="A39" s="2"/>
      <c r="B39" s="23"/>
      <c r="C39" s="1"/>
      <c r="D39" s="1"/>
      <c r="E39" s="20"/>
    </row>
    <row r="40" spans="1:5" ht="15.75" customHeight="1">
      <c r="A40" s="2" t="s">
        <v>55</v>
      </c>
      <c r="B40" s="24">
        <v>18</v>
      </c>
      <c r="C40" s="1"/>
      <c r="D40" s="1"/>
      <c r="E40" s="20"/>
    </row>
    <row r="41" spans="1:5" ht="15.75" customHeight="1">
      <c r="A41" s="2" t="s">
        <v>56</v>
      </c>
      <c r="B41" s="24">
        <v>0</v>
      </c>
      <c r="C41" s="1"/>
      <c r="E41" s="20"/>
    </row>
    <row r="42" spans="1:5" ht="15.75" customHeight="1">
      <c r="A42" s="2" t="s">
        <v>57</v>
      </c>
      <c r="B42" s="24">
        <v>20</v>
      </c>
      <c r="C42" s="1" t="s">
        <v>58</v>
      </c>
      <c r="E42" s="20"/>
    </row>
    <row r="43" spans="1:5" ht="15.75" customHeight="1">
      <c r="A43" s="2" t="s">
        <v>59</v>
      </c>
      <c r="B43" s="24">
        <v>0</v>
      </c>
      <c r="C43" s="1"/>
    </row>
    <row r="44" spans="1:5" ht="15.75" customHeight="1">
      <c r="A44" s="2" t="s">
        <v>60</v>
      </c>
      <c r="B44" s="21">
        <f>SUM(B40:B43)</f>
        <v>38</v>
      </c>
      <c r="E44" s="18"/>
    </row>
    <row r="45" spans="1:5" ht="15.75" customHeight="1">
      <c r="A45" s="2"/>
      <c r="B45" s="18"/>
    </row>
    <row r="46" spans="1:5" ht="15.75" customHeight="1">
      <c r="A46" s="32" t="s">
        <v>61</v>
      </c>
      <c r="B46" s="18"/>
      <c r="E46" s="33"/>
    </row>
    <row r="47" spans="1:5" ht="15.75" customHeight="1">
      <c r="A47" s="2" t="s">
        <v>62</v>
      </c>
      <c r="B47" s="21">
        <f>B27-B44</f>
        <v>154</v>
      </c>
      <c r="E47" s="33"/>
    </row>
    <row r="48" spans="1:5" ht="15.75" customHeight="1">
      <c r="A48" s="2" t="s">
        <v>63</v>
      </c>
      <c r="B48" s="34">
        <f>B47/B34</f>
        <v>11.159420289855072</v>
      </c>
      <c r="C48" t="s">
        <v>64</v>
      </c>
    </row>
    <row r="49" spans="1:26" ht="15.75" customHeight="1">
      <c r="B49" s="2"/>
    </row>
    <row r="50" spans="1:26" ht="15.75" customHeight="1">
      <c r="A50" s="8" t="s">
        <v>65</v>
      </c>
      <c r="B50" s="2"/>
    </row>
    <row r="51" spans="1:26" ht="15.75" customHeight="1">
      <c r="A51" s="162" t="s">
        <v>66</v>
      </c>
      <c r="B51" s="157"/>
      <c r="C51" s="157"/>
      <c r="D51" s="157"/>
    </row>
    <row r="52" spans="1:26" ht="15.75" customHeight="1">
      <c r="A52" s="8" t="s">
        <v>67</v>
      </c>
      <c r="B52" s="35"/>
      <c r="C52" s="36"/>
    </row>
    <row r="53" spans="1:26" ht="15.75" customHeight="1">
      <c r="A53" s="27"/>
      <c r="B53" s="35"/>
      <c r="C53" s="36"/>
    </row>
    <row r="54" spans="1:26" ht="66" customHeight="1">
      <c r="A54" s="35" t="s">
        <v>68</v>
      </c>
      <c r="B54" s="35" t="s">
        <v>69</v>
      </c>
      <c r="C54" s="37" t="s">
        <v>70</v>
      </c>
      <c r="D54" s="35" t="s">
        <v>71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1" t="s">
        <v>72</v>
      </c>
      <c r="B55" s="9">
        <v>2</v>
      </c>
      <c r="C55" s="4">
        <v>20</v>
      </c>
    </row>
    <row r="56" spans="1:26" ht="15.75" customHeight="1">
      <c r="A56" s="1" t="s">
        <v>73</v>
      </c>
      <c r="B56" s="9">
        <v>1</v>
      </c>
      <c r="C56" s="4">
        <v>30</v>
      </c>
    </row>
    <row r="57" spans="1:26" ht="15.75" customHeight="1">
      <c r="A57" s="1" t="s">
        <v>74</v>
      </c>
      <c r="B57" s="9">
        <v>0</v>
      </c>
      <c r="C57" s="4">
        <v>0</v>
      </c>
    </row>
    <row r="58" spans="1:26" ht="15.75" customHeight="1">
      <c r="A58" s="1" t="s">
        <v>75</v>
      </c>
      <c r="B58" s="9">
        <v>3</v>
      </c>
      <c r="C58" s="4">
        <v>15</v>
      </c>
    </row>
    <row r="59" spans="1:26" ht="15.75" customHeight="1">
      <c r="A59" s="1" t="s">
        <v>76</v>
      </c>
      <c r="B59" s="9">
        <v>2</v>
      </c>
      <c r="C59" s="4">
        <v>30</v>
      </c>
    </row>
    <row r="60" spans="1:26" ht="15.75" customHeight="1">
      <c r="A60" s="1" t="s">
        <v>77</v>
      </c>
      <c r="B60" s="9">
        <v>0</v>
      </c>
      <c r="C60" s="4">
        <v>0</v>
      </c>
    </row>
    <row r="61" spans="1:26" ht="15.75" customHeight="1">
      <c r="A61" s="1" t="s">
        <v>78</v>
      </c>
      <c r="B61" s="9">
        <v>0</v>
      </c>
      <c r="C61" s="4">
        <v>0</v>
      </c>
    </row>
    <row r="62" spans="1:26" ht="15.75" customHeight="1">
      <c r="A62" s="1" t="s">
        <v>79</v>
      </c>
      <c r="B62" s="9">
        <v>0</v>
      </c>
      <c r="C62" s="4">
        <v>0</v>
      </c>
    </row>
    <row r="63" spans="1:26" ht="15.75" customHeight="1">
      <c r="A63" s="1" t="s">
        <v>80</v>
      </c>
      <c r="B63" s="9">
        <v>0</v>
      </c>
      <c r="C63" s="4">
        <v>0</v>
      </c>
    </row>
    <row r="64" spans="1:26" ht="15.75" customHeight="1">
      <c r="A64" s="1" t="s">
        <v>81</v>
      </c>
      <c r="B64" s="9">
        <v>0</v>
      </c>
      <c r="C64" s="4">
        <v>0</v>
      </c>
    </row>
    <row r="65" spans="1:26" ht="15.75" customHeight="1">
      <c r="A65" s="1" t="s">
        <v>82</v>
      </c>
      <c r="B65" s="9">
        <v>0</v>
      </c>
      <c r="C65" s="4">
        <v>0</v>
      </c>
    </row>
    <row r="66" spans="1:26" ht="15.75" customHeight="1">
      <c r="A66" s="1" t="s">
        <v>83</v>
      </c>
      <c r="B66" s="9">
        <v>1</v>
      </c>
      <c r="C66" s="4">
        <v>120</v>
      </c>
    </row>
    <row r="67" spans="1:26" ht="15.75" customHeight="1">
      <c r="A67" s="1" t="s">
        <v>84</v>
      </c>
      <c r="B67" s="9">
        <v>0</v>
      </c>
      <c r="C67" s="4">
        <v>0</v>
      </c>
    </row>
    <row r="68" spans="1:26" ht="15.75" customHeight="1">
      <c r="A68" s="1" t="s">
        <v>85</v>
      </c>
      <c r="B68" s="9">
        <v>1</v>
      </c>
      <c r="C68" s="4">
        <v>90</v>
      </c>
      <c r="D68" t="s">
        <v>129</v>
      </c>
    </row>
    <row r="69" spans="1:26" ht="15.75" customHeight="1">
      <c r="A69" s="1" t="s">
        <v>86</v>
      </c>
      <c r="B69" s="9">
        <v>0</v>
      </c>
      <c r="C69" s="4"/>
    </row>
    <row r="70" spans="1:26" ht="15.75" customHeight="1">
      <c r="A70" s="1" t="s">
        <v>86</v>
      </c>
      <c r="B70" s="9">
        <v>0</v>
      </c>
      <c r="C70" s="4"/>
    </row>
    <row r="71" spans="1:26" ht="15.75" customHeight="1">
      <c r="A71" s="1" t="s">
        <v>87</v>
      </c>
      <c r="B71" s="13">
        <f>SUM(B55:B70)</f>
        <v>10</v>
      </c>
      <c r="C71" s="13">
        <f>(C55*B55)+(C56*B56)+(C57*B57)+(C58*B58)+(B59*C59)+(C60*B60)+(C61*B61)+(C62*B62)+(C63*B63)+(C64*B64)+(C65*B65)+(C66*B66)+(C67*B67)+(B68*C68)+(B69*C69)+(C70*B70)</f>
        <v>385</v>
      </c>
    </row>
    <row r="72" spans="1:26" ht="15.75" customHeight="1">
      <c r="A72" s="1" t="s">
        <v>88</v>
      </c>
      <c r="B72" s="2"/>
      <c r="C72" s="41">
        <f>C71/60</f>
        <v>6.416666666666667</v>
      </c>
      <c r="D72" t="s">
        <v>130</v>
      </c>
    </row>
    <row r="73" spans="1:26" ht="15.75" customHeight="1">
      <c r="A73" s="1" t="str">
        <f>A48</f>
        <v>Labor Budget in Hours, per bed</v>
      </c>
      <c r="B73" s="2"/>
      <c r="C73" s="41">
        <f>B48</f>
        <v>11.159420289855072</v>
      </c>
      <c r="D73" s="15" t="s">
        <v>89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B74" s="2"/>
    </row>
    <row r="75" spans="1:26" ht="15.75" customHeight="1">
      <c r="A75" s="8" t="s">
        <v>90</v>
      </c>
      <c r="B75" s="2"/>
    </row>
    <row r="76" spans="1:26" ht="15.75" customHeight="1">
      <c r="A76" s="8" t="s">
        <v>91</v>
      </c>
      <c r="B76" s="2"/>
    </row>
    <row r="77" spans="1:26" ht="15.75" customHeight="1">
      <c r="B77" s="2"/>
    </row>
    <row r="78" spans="1:26" ht="15.75" customHeight="1">
      <c r="A78" s="25" t="s">
        <v>93</v>
      </c>
      <c r="B78" s="2"/>
    </row>
    <row r="79" spans="1:26" ht="15.75" customHeight="1">
      <c r="A79" s="1" t="s">
        <v>94</v>
      </c>
      <c r="B79" s="9">
        <v>5</v>
      </c>
    </row>
    <row r="80" spans="1:26" ht="15.75" customHeight="1">
      <c r="A80" s="1" t="s">
        <v>95</v>
      </c>
      <c r="B80" s="43">
        <v>1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7" ht="15.75" customHeight="1">
      <c r="A81" s="1" t="s">
        <v>96</v>
      </c>
      <c r="B81" s="13">
        <f>(B79*B80)*B19</f>
        <v>2000</v>
      </c>
      <c r="C81" s="13" t="str">
        <f>C19</f>
        <v>pounds</v>
      </c>
      <c r="D81" s="15" t="s">
        <v>97</v>
      </c>
    </row>
    <row r="82" spans="1:7" ht="15.75" customHeight="1">
      <c r="A82" s="1" t="s">
        <v>98</v>
      </c>
      <c r="B82" s="45">
        <f>B21*(B79*B80)</f>
        <v>1200</v>
      </c>
      <c r="C82" s="46" t="s">
        <v>99</v>
      </c>
    </row>
    <row r="83" spans="1:7" ht="15.75" customHeight="1">
      <c r="A83" s="1" t="s">
        <v>34</v>
      </c>
      <c r="B83" s="47">
        <f>B44*(B79*B80)</f>
        <v>190</v>
      </c>
      <c r="C83" s="64">
        <f>B83/(B83+B84)</f>
        <v>0.30027657052548401</v>
      </c>
      <c r="G83" s="1"/>
    </row>
    <row r="84" spans="1:7" ht="15.75" customHeight="1">
      <c r="A84" s="1" t="s">
        <v>100</v>
      </c>
      <c r="B84" s="49">
        <f>C72*B34*(B79*B80)</f>
        <v>442.75000000000006</v>
      </c>
      <c r="C84" s="64">
        <f>B84/(B84+B83)</f>
        <v>0.69972342947451605</v>
      </c>
      <c r="D84" t="s">
        <v>121</v>
      </c>
      <c r="G84" s="1"/>
    </row>
    <row r="85" spans="1:7" ht="15.75" customHeight="1">
      <c r="A85" s="26" t="s">
        <v>35</v>
      </c>
      <c r="B85" s="50">
        <f>B82-(B83+B84)</f>
        <v>567.25</v>
      </c>
      <c r="G85" s="1"/>
    </row>
    <row r="86" spans="1:7" ht="15.75" customHeight="1">
      <c r="A86" s="27" t="s">
        <v>101</v>
      </c>
      <c r="B86" s="51">
        <f>B85/B82</f>
        <v>0.47270833333333334</v>
      </c>
      <c r="C86" s="52" t="s">
        <v>102</v>
      </c>
      <c r="D86" s="51">
        <f>B22</f>
        <v>0.2</v>
      </c>
      <c r="G86" s="1"/>
    </row>
    <row r="87" spans="1:7" ht="15.75" customHeight="1">
      <c r="A87" s="27" t="s">
        <v>103</v>
      </c>
      <c r="B87" s="65">
        <f>(B83+B84)/B81</f>
        <v>0.31637500000000002</v>
      </c>
      <c r="G87" s="1"/>
    </row>
    <row r="88" spans="1:7" ht="15.75" customHeight="1">
      <c r="A88" s="1"/>
      <c r="B88" s="2"/>
      <c r="G88" s="1"/>
    </row>
    <row r="89" spans="1:7" ht="15.75" customHeight="1">
      <c r="A89" s="8" t="s">
        <v>104</v>
      </c>
      <c r="B89" s="2"/>
    </row>
    <row r="90" spans="1:7" ht="15.75" customHeight="1">
      <c r="A90" s="8" t="s">
        <v>105</v>
      </c>
      <c r="B90" s="2"/>
    </row>
    <row r="91" spans="1:7" ht="15.75" customHeight="1">
      <c r="A91" s="8" t="s">
        <v>106</v>
      </c>
      <c r="B91" s="2"/>
    </row>
    <row r="92" spans="1:7" ht="15.75" customHeight="1">
      <c r="A92" s="8" t="s">
        <v>47</v>
      </c>
      <c r="B92" s="2"/>
    </row>
    <row r="93" spans="1:7" ht="15.75" customHeight="1">
      <c r="A93" s="8" t="s">
        <v>48</v>
      </c>
      <c r="B93" s="28"/>
      <c r="C93" s="28"/>
      <c r="G93" s="1"/>
    </row>
    <row r="94" spans="1:7" ht="15.75" customHeight="1">
      <c r="A94" s="8" t="s">
        <v>49</v>
      </c>
      <c r="B94" s="28"/>
      <c r="C94" s="28"/>
      <c r="G94" s="1"/>
    </row>
    <row r="95" spans="1:7" ht="15.75" customHeight="1">
      <c r="A95" s="25"/>
      <c r="B95" s="28"/>
      <c r="C95" s="28"/>
      <c r="G95" s="1"/>
    </row>
    <row r="96" spans="1:7" ht="30" customHeight="1">
      <c r="A96" s="25" t="s">
        <v>107</v>
      </c>
      <c r="B96" s="160" t="s">
        <v>124</v>
      </c>
      <c r="C96" s="161"/>
      <c r="D96" t="s">
        <v>131</v>
      </c>
      <c r="G96" s="1"/>
    </row>
    <row r="97" spans="1:26" ht="15.75" customHeight="1">
      <c r="A97" s="1" t="s">
        <v>132</v>
      </c>
      <c r="B97" s="29"/>
      <c r="C97" s="54" t="s">
        <v>133</v>
      </c>
      <c r="D97" t="s">
        <v>125</v>
      </c>
      <c r="G97" s="1"/>
    </row>
    <row r="98" spans="1:26" ht="15.75" customHeight="1">
      <c r="A98" s="1" t="s">
        <v>134</v>
      </c>
      <c r="B98" s="68">
        <v>0.25</v>
      </c>
      <c r="C98" s="54"/>
      <c r="D98" s="15"/>
      <c r="E98" s="15"/>
      <c r="F98" s="15"/>
      <c r="G98" s="1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>
      <c r="A99" s="1" t="s">
        <v>135</v>
      </c>
      <c r="B99" s="29">
        <f>B97*B98</f>
        <v>0</v>
      </c>
      <c r="C99" s="55"/>
      <c r="G99" s="1"/>
    </row>
    <row r="100" spans="1:26" ht="15.75" customHeight="1">
      <c r="A100" s="26" t="s">
        <v>35</v>
      </c>
      <c r="B100" s="56">
        <f>B82-(B83+B84+B99)</f>
        <v>567.25</v>
      </c>
      <c r="G100" s="1"/>
    </row>
    <row r="101" spans="1:26" ht="15.75" customHeight="1">
      <c r="A101" s="27" t="s">
        <v>101</v>
      </c>
      <c r="B101" s="51">
        <f>B100/B82</f>
        <v>0.47270833333333334</v>
      </c>
      <c r="C101" t="s">
        <v>126</v>
      </c>
      <c r="G101" s="1"/>
    </row>
    <row r="102" spans="1:26" ht="15.75" customHeight="1">
      <c r="A102" s="25" t="s">
        <v>103</v>
      </c>
      <c r="B102" s="58">
        <f>(B82-B100)/B81</f>
        <v>0.31637500000000002</v>
      </c>
      <c r="G102" s="1"/>
    </row>
    <row r="103" spans="1:26" ht="15.75" customHeight="1">
      <c r="B103" s="2"/>
      <c r="G103" s="1"/>
    </row>
    <row r="104" spans="1:26" ht="15.75" customHeight="1">
      <c r="B104" s="2"/>
      <c r="G104" s="1"/>
    </row>
    <row r="105" spans="1:26" ht="15.75" customHeight="1">
      <c r="A105" s="30" t="s">
        <v>15</v>
      </c>
      <c r="B105" s="2"/>
      <c r="G105" s="1"/>
    </row>
    <row r="106" spans="1:26" ht="15.75" customHeight="1">
      <c r="B106" s="2"/>
    </row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96:C96"/>
    <mergeCell ref="A51:D51"/>
    <mergeCell ref="A37:E37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5" defaultRowHeight="15" customHeight="1"/>
  <cols>
    <col min="1" max="1" width="6.1640625" customWidth="1"/>
    <col min="2" max="2" width="37.83203125" customWidth="1"/>
    <col min="3" max="6" width="14.5" customWidth="1"/>
  </cols>
  <sheetData>
    <row r="1" spans="1:26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36" customHeight="1">
      <c r="A3" s="169" t="s">
        <v>15</v>
      </c>
      <c r="B3" s="170"/>
      <c r="C3" s="16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>
      <c r="A5" s="8" t="s">
        <v>140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>
      <c r="A6" s="1"/>
      <c r="B6" s="6" t="s">
        <v>8</v>
      </c>
      <c r="C6" s="69" t="s">
        <v>141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>
      <c r="A8" s="8" t="s">
        <v>145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30" customHeight="1">
      <c r="A9" s="162" t="s">
        <v>146</v>
      </c>
      <c r="B9" s="157"/>
      <c r="C9" s="15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6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6">
      <c r="A11" s="1" t="s">
        <v>151</v>
      </c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6">
      <c r="A12" s="1"/>
      <c r="B12" s="70" t="s">
        <v>153</v>
      </c>
      <c r="C12" s="57">
        <v>47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6">
      <c r="A13" s="1"/>
      <c r="B13" s="71" t="s">
        <v>159</v>
      </c>
      <c r="C13" s="72">
        <v>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6">
      <c r="A14" s="1"/>
      <c r="B14" s="73" t="s">
        <v>160</v>
      </c>
      <c r="C14" s="74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6">
      <c r="A15" s="1"/>
      <c r="B15" s="75" t="s">
        <v>161</v>
      </c>
      <c r="C15" s="76">
        <f>C14/C13/C12</f>
        <v>7.0921985815602835E-3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5"/>
      <c r="Z15" s="15"/>
    </row>
    <row r="16" spans="1:26">
      <c r="A16" s="1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6">
      <c r="A17" s="8" t="s">
        <v>162</v>
      </c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6">
      <c r="A18" s="8" t="s">
        <v>163</v>
      </c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6" ht="33.75" customHeight="1">
      <c r="A19" s="162" t="s">
        <v>164</v>
      </c>
      <c r="B19" s="157"/>
      <c r="C19" s="15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6">
      <c r="A20" s="1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6" ht="15.75" customHeight="1">
      <c r="A21" s="1" t="s">
        <v>165</v>
      </c>
      <c r="B21" s="7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6" ht="15.75" customHeight="1">
      <c r="A22" s="1"/>
      <c r="B22" s="70" t="s">
        <v>166</v>
      </c>
      <c r="C22" s="79">
        <v>0.5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6" ht="15.75" customHeight="1">
      <c r="A23" s="1"/>
      <c r="B23" s="70" t="s">
        <v>167</v>
      </c>
      <c r="C23" s="14">
        <v>0.02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6" ht="15.75" customHeight="1">
      <c r="A24" s="1"/>
      <c r="B24" s="71" t="s">
        <v>168</v>
      </c>
      <c r="C24" s="81">
        <v>0.14000000000000001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6" ht="15.75" customHeight="1">
      <c r="A25" s="1"/>
      <c r="B25" s="73" t="s">
        <v>169</v>
      </c>
      <c r="C25" s="74">
        <v>0.06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6" ht="15.75" customHeight="1">
      <c r="A26" s="1"/>
      <c r="B26" s="82" t="s">
        <v>170</v>
      </c>
      <c r="C26" s="83">
        <f>(C22+C23+C24+C25)/C12</f>
        <v>1.5319148936170212E-2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5"/>
      <c r="Z26" s="15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6" ht="15.75" customHeight="1">
      <c r="A28" s="8" t="s">
        <v>171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6" ht="45.75" customHeight="1">
      <c r="A29" s="162" t="s">
        <v>173</v>
      </c>
      <c r="B29" s="157"/>
      <c r="C29" s="15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6" ht="15.75" customHeight="1">
      <c r="A31" s="1" t="s">
        <v>174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6" ht="15.75" customHeight="1">
      <c r="A32" s="1"/>
      <c r="B32" s="82" t="s">
        <v>175</v>
      </c>
      <c r="C32" s="84">
        <v>7500</v>
      </c>
      <c r="D32" s="1" t="s">
        <v>176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6" ht="15.75" customHeight="1">
      <c r="A33" s="1"/>
      <c r="B33" s="82" t="s">
        <v>177</v>
      </c>
      <c r="C33" s="40">
        <v>3500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6" ht="15.75" customHeight="1">
      <c r="A34" s="1"/>
      <c r="B34" s="82" t="s">
        <v>178</v>
      </c>
      <c r="C34" s="76">
        <f>C32/C33</f>
        <v>2.1428571428571428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6" ht="15.75" customHeight="1">
      <c r="A35" s="1"/>
      <c r="B35" s="82" t="s">
        <v>180</v>
      </c>
      <c r="C35" s="76">
        <f>C34/C12</f>
        <v>4.5592705167173252E-2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5"/>
      <c r="Z35" s="15"/>
    </row>
    <row r="36" spans="1:26" ht="12" customHeight="1">
      <c r="A36" s="1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6" ht="25.5" customHeight="1">
      <c r="A37" s="162" t="s">
        <v>181</v>
      </c>
      <c r="B37" s="157"/>
      <c r="C37" s="15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6" ht="15.75" customHeight="1">
      <c r="A38" s="1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6" ht="15.75" customHeight="1">
      <c r="A39" s="1" t="s">
        <v>182</v>
      </c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6" ht="15.75" customHeight="1">
      <c r="A40" s="1"/>
      <c r="B40" s="73" t="s">
        <v>183</v>
      </c>
      <c r="C40" s="87">
        <v>40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6" ht="15.75" customHeight="1">
      <c r="A41" s="1"/>
      <c r="B41" s="73" t="s">
        <v>184</v>
      </c>
      <c r="C41" s="87">
        <v>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6" ht="15.75" customHeight="1">
      <c r="A42" s="1"/>
      <c r="B42" s="73" t="s">
        <v>185</v>
      </c>
      <c r="C42" s="88">
        <v>14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6" ht="15.75" customHeight="1">
      <c r="A43" s="1"/>
      <c r="B43" s="73" t="s">
        <v>30</v>
      </c>
      <c r="C43" s="89">
        <v>0.15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6" ht="15.75" customHeight="1">
      <c r="A44" s="1"/>
      <c r="B44" s="73" t="s">
        <v>186</v>
      </c>
      <c r="C44" s="76">
        <f>(C42*(1+C43))/C40</f>
        <v>0.40249999999999997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6" ht="15.75" customHeight="1">
      <c r="A45" s="1"/>
      <c r="B45" s="73" t="s">
        <v>187</v>
      </c>
      <c r="C45" s="76">
        <f>(C42*(1+C43))/C41</f>
        <v>1.0733333333333333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6" ht="27.75" customHeight="1">
      <c r="A47" s="162" t="s">
        <v>188</v>
      </c>
      <c r="B47" s="157"/>
      <c r="C47" s="15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61"/>
      <c r="Z47" s="6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 t="s">
        <v>189</v>
      </c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73" t="s">
        <v>190</v>
      </c>
      <c r="C50" s="87">
        <v>18</v>
      </c>
      <c r="D50" s="1" t="s">
        <v>191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73" t="s">
        <v>192</v>
      </c>
      <c r="C51" s="87">
        <v>6</v>
      </c>
      <c r="D51" s="1" t="s">
        <v>193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73" t="s">
        <v>194</v>
      </c>
      <c r="C52" s="76">
        <f>C51*(C50*(C42*(1+C43)))</f>
        <v>1738.7999999999997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73" t="s">
        <v>195</v>
      </c>
      <c r="C53" s="76">
        <f>C52/C33</f>
        <v>0.49679999999999991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6"/>
      <c r="C54" s="9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8" t="s">
        <v>196</v>
      </c>
      <c r="B55" s="6"/>
      <c r="C55" s="9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6"/>
      <c r="C56" s="9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 t="s">
        <v>197</v>
      </c>
      <c r="B57" s="6"/>
      <c r="C57" s="9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75" t="s">
        <v>161</v>
      </c>
      <c r="C58" s="76">
        <f>C15</f>
        <v>7.0921985815602835E-3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82" t="s">
        <v>170</v>
      </c>
      <c r="C59" s="83">
        <f>C26</f>
        <v>1.5319148936170212E-2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82" t="s">
        <v>180</v>
      </c>
      <c r="C60" s="76">
        <f>C35</f>
        <v>4.5592705167173252E-2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82" t="s">
        <v>198</v>
      </c>
      <c r="C61" s="76">
        <f>(C44+C45+C53)/C12</f>
        <v>4.1970921985815597E-2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91" t="s">
        <v>199</v>
      </c>
      <c r="C62" s="92">
        <f>C60+C59+C58+C61</f>
        <v>0.10997497467071934</v>
      </c>
      <c r="D62" s="1" t="s">
        <v>200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/>
    <row r="264" spans="1:24" ht="15.75" customHeight="1"/>
    <row r="265" spans="1:24" ht="15.75" customHeight="1"/>
    <row r="266" spans="1:24" ht="15.75" customHeight="1"/>
    <row r="267" spans="1:24" ht="15.75" customHeight="1"/>
    <row r="268" spans="1:24" ht="15.75" customHeight="1"/>
    <row r="269" spans="1:24" ht="15.75" customHeight="1"/>
    <row r="270" spans="1:24" ht="15.75" customHeight="1"/>
    <row r="271" spans="1:24" ht="15.75" customHeight="1"/>
    <row r="272" spans="1:2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47:C47"/>
    <mergeCell ref="A3:C3"/>
    <mergeCell ref="A9:C9"/>
    <mergeCell ref="A19:C19"/>
    <mergeCell ref="A29:C29"/>
    <mergeCell ref="A37:C3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Template - blank</vt:lpstr>
      <vt:lpstr>high tunnel</vt:lpstr>
      <vt:lpstr>Sample baby greens</vt:lpstr>
      <vt:lpstr>Sample head lettuce</vt:lpstr>
      <vt:lpstr>Sample carrots_no root washer</vt:lpstr>
      <vt:lpstr>Sample carrots_root washer</vt:lpstr>
      <vt:lpstr>Transplants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Frimmer</dc:creator>
  <cp:lastModifiedBy>Erik Hassert</cp:lastModifiedBy>
  <dcterms:created xsi:type="dcterms:W3CDTF">2019-04-22T22:32:00Z</dcterms:created>
  <dcterms:modified xsi:type="dcterms:W3CDTF">2019-05-01T11:40:16Z</dcterms:modified>
</cp:coreProperties>
</file>